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K:\Group Reporting and Controlling\2023\Quater-end 2023\Q1 2023\Q1 interim report\Q1 External\"/>
    </mc:Choice>
  </mc:AlternateContent>
  <xr:revisionPtr revIDLastSave="0" documentId="8_{CBBAD1A5-82A3-4EFA-A4A4-2CA96843D76D}" xr6:coauthVersionLast="47" xr6:coauthVersionMax="47" xr10:uidLastSave="{00000000-0000-0000-0000-000000000000}"/>
  <bookViews>
    <workbookView xWindow="-120" yWindow="-120" windowWidth="29040" windowHeight="17640" tabRatio="758" activeTab="1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3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Sheet'!$BJ$4:$BX$48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2017-2023'!$C$4:$S$107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2017-2023'!$A:$A,'Segment Data 2017-2023'!$1:$3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O42" i="2" l="1"/>
  <c r="CO41" i="2"/>
  <c r="CO40" i="2"/>
  <c r="CO28" i="2"/>
  <c r="CO25" i="2"/>
  <c r="CO12" i="2"/>
  <c r="CO8" i="2"/>
  <c r="DG15" i="3"/>
  <c r="DG10" i="3"/>
  <c r="DG6" i="3"/>
  <c r="AM76" i="7" l="1"/>
  <c r="AM67" i="7"/>
  <c r="AM47" i="7"/>
  <c r="AM30" i="7"/>
  <c r="AM20" i="7"/>
  <c r="AM10" i="7"/>
  <c r="DG5" i="1" s="1"/>
  <c r="DG19" i="3"/>
  <c r="DG11" i="3"/>
  <c r="DG36" i="1" s="1"/>
  <c r="CO24" i="2"/>
  <c r="CO30" i="2" s="1"/>
  <c r="CO16" i="2"/>
  <c r="CO9" i="2"/>
  <c r="DG46" i="1"/>
  <c r="DG37" i="1"/>
  <c r="DG7" i="1"/>
  <c r="DG11" i="1" s="1"/>
  <c r="DG14" i="1" s="1"/>
  <c r="DG16" i="1" s="1"/>
  <c r="DG19" i="1" s="1"/>
  <c r="DG21" i="1" s="1"/>
  <c r="DD24" i="1"/>
  <c r="CO18" i="2" l="1"/>
  <c r="DG30" i="1" s="1"/>
  <c r="DG41" i="1" s="1"/>
  <c r="DG24" i="1"/>
  <c r="DG21" i="3"/>
  <c r="DD6" i="3"/>
  <c r="CM40" i="2"/>
  <c r="CM38" i="2"/>
  <c r="CM25" i="2"/>
  <c r="CM28" i="2"/>
  <c r="CM12" i="2"/>
  <c r="DD46" i="1"/>
  <c r="DD41" i="1"/>
  <c r="DD7" i="1"/>
  <c r="AK94" i="7" l="1"/>
  <c r="AK89" i="7"/>
  <c r="DD5" i="1" l="1"/>
  <c r="AK13" i="7"/>
  <c r="AJ13" i="7"/>
  <c r="AI13" i="7"/>
  <c r="AH13" i="7"/>
  <c r="CL40" i="2"/>
  <c r="CL12" i="2" l="1"/>
  <c r="DC46" i="1" l="1"/>
  <c r="DC41" i="1"/>
  <c r="DB7" i="1"/>
  <c r="DB5" i="1"/>
  <c r="AI76" i="7"/>
  <c r="AI30" i="7"/>
  <c r="AI38" i="7" s="1"/>
  <c r="DC7" i="1" s="1"/>
  <c r="CL9" i="2" l="1"/>
  <c r="CK28" i="2" l="1"/>
  <c r="DB46" i="1"/>
  <c r="DB41" i="1"/>
  <c r="CK40" i="2"/>
  <c r="DB24" i="1"/>
  <c r="DA24" i="1"/>
  <c r="DA7" i="1"/>
  <c r="DA5" i="1"/>
  <c r="CK25" i="2"/>
  <c r="CK12" i="2"/>
  <c r="CK16" i="2" s="1"/>
  <c r="CK9" i="2"/>
  <c r="CK8" i="2"/>
  <c r="DE15" i="3"/>
  <c r="DB10" i="3"/>
  <c r="AK72" i="7"/>
  <c r="AH67" i="7"/>
  <c r="AH62" i="7"/>
  <c r="CJ40" i="2"/>
  <c r="DA46" i="1"/>
  <c r="DA41" i="1"/>
  <c r="DC37" i="1"/>
  <c r="DB37" i="1"/>
  <c r="DE20" i="1"/>
  <c r="DE18" i="1"/>
  <c r="DE17" i="1"/>
  <c r="DE15" i="1"/>
  <c r="DE13" i="1"/>
  <c r="DE12" i="1"/>
  <c r="DE10" i="1"/>
  <c r="DE9" i="1"/>
  <c r="DE8" i="1"/>
  <c r="CJ28" i="2"/>
  <c r="CJ25" i="2"/>
  <c r="CJ12" i="2"/>
  <c r="CJ16" i="2" s="1"/>
  <c r="CJ8" i="2"/>
  <c r="CJ9" i="2" s="1"/>
  <c r="CM24" i="2"/>
  <c r="CM30" i="2" s="1"/>
  <c r="CK24" i="2"/>
  <c r="CJ24" i="2"/>
  <c r="CM16" i="2"/>
  <c r="CL16" i="2"/>
  <c r="CM9" i="2"/>
  <c r="DE13" i="3"/>
  <c r="DE10" i="3"/>
  <c r="DD19" i="3"/>
  <c r="DB19" i="3"/>
  <c r="DE18" i="3"/>
  <c r="DE17" i="3"/>
  <c r="DE16" i="3"/>
  <c r="DE14" i="3"/>
  <c r="DD11" i="3"/>
  <c r="DC11" i="3"/>
  <c r="DC36" i="1" s="1"/>
  <c r="DB11" i="3"/>
  <c r="DB36" i="1" s="1"/>
  <c r="DE7" i="3"/>
  <c r="DE6" i="3"/>
  <c r="AA91" i="7"/>
  <c r="AG91" i="7"/>
  <c r="AJ76" i="7"/>
  <c r="AK76" i="7" s="1"/>
  <c r="AH76" i="7"/>
  <c r="AG76" i="7"/>
  <c r="AG79" i="7" s="1"/>
  <c r="AK75" i="7"/>
  <c r="AK74" i="7"/>
  <c r="AK73" i="7"/>
  <c r="AG68" i="7"/>
  <c r="AJ67" i="7"/>
  <c r="AG67" i="7"/>
  <c r="AG64" i="7"/>
  <c r="AK62" i="7"/>
  <c r="AG59" i="7"/>
  <c r="AK57" i="7"/>
  <c r="AG54" i="7"/>
  <c r="AK52" i="7"/>
  <c r="AJ47" i="7"/>
  <c r="AI47" i="7"/>
  <c r="AH47" i="7"/>
  <c r="AG47" i="7"/>
  <c r="AG49" i="7" s="1"/>
  <c r="AK46" i="7"/>
  <c r="AK45" i="7"/>
  <c r="AK44" i="7"/>
  <c r="AK43" i="7"/>
  <c r="AJ30" i="7"/>
  <c r="AH30" i="7"/>
  <c r="AH38" i="7" s="1"/>
  <c r="AG30" i="7"/>
  <c r="AG33" i="7" s="1"/>
  <c r="AK29" i="7"/>
  <c r="AK28" i="7"/>
  <c r="AK27" i="7"/>
  <c r="AK26" i="7"/>
  <c r="AJ20" i="7"/>
  <c r="AI20" i="7"/>
  <c r="DC24" i="1" s="1"/>
  <c r="AH20" i="7"/>
  <c r="AG20" i="7"/>
  <c r="AG23" i="7" s="1"/>
  <c r="AK19" i="7"/>
  <c r="AK18" i="7"/>
  <c r="AK17" i="7"/>
  <c r="AK16" i="7"/>
  <c r="AJ10" i="7"/>
  <c r="AI10" i="7"/>
  <c r="DC5" i="1" s="1"/>
  <c r="AH10" i="7"/>
  <c r="AG10" i="7"/>
  <c r="AG13" i="7" s="1"/>
  <c r="AK9" i="7"/>
  <c r="AK8" i="7"/>
  <c r="AK7" i="7"/>
  <c r="AK6" i="7"/>
  <c r="DE11" i="3" l="1"/>
  <c r="CK30" i="2"/>
  <c r="DE24" i="1"/>
  <c r="DB11" i="1"/>
  <c r="DB14" i="1" s="1"/>
  <c r="DB16" i="1" s="1"/>
  <c r="DB19" i="1" s="1"/>
  <c r="DE5" i="1"/>
  <c r="CK18" i="2"/>
  <c r="DD21" i="3"/>
  <c r="DA37" i="1"/>
  <c r="DE37" i="1" s="1"/>
  <c r="CJ30" i="2"/>
  <c r="CL18" i="2"/>
  <c r="CM18" i="2"/>
  <c r="CJ18" i="2"/>
  <c r="DE19" i="3"/>
  <c r="DA19" i="3"/>
  <c r="DB21" i="3"/>
  <c r="DC19" i="3"/>
  <c r="DC21" i="3" s="1"/>
  <c r="DA11" i="3"/>
  <c r="DA36" i="1" s="1"/>
  <c r="DE36" i="1" s="1"/>
  <c r="AK30" i="7"/>
  <c r="AK67" i="7"/>
  <c r="AG69" i="7"/>
  <c r="AK47" i="7"/>
  <c r="DD11" i="1"/>
  <c r="DD14" i="1" s="1"/>
  <c r="DD16" i="1" s="1"/>
  <c r="DD19" i="1" s="1"/>
  <c r="DD21" i="1" s="1"/>
  <c r="AK20" i="7"/>
  <c r="AK10" i="7"/>
  <c r="DC11" i="1"/>
  <c r="DC14" i="1" s="1"/>
  <c r="DC16" i="1" s="1"/>
  <c r="DC19" i="1" s="1"/>
  <c r="AP31" i="1"/>
  <c r="CX41" i="1"/>
  <c r="CH28" i="2"/>
  <c r="CH25" i="2"/>
  <c r="CH12" i="2"/>
  <c r="DC21" i="1" l="1"/>
  <c r="CL38" i="2"/>
  <c r="DB21" i="1"/>
  <c r="CK38" i="2"/>
  <c r="DE21" i="3"/>
  <c r="DA21" i="3"/>
  <c r="AK38" i="7"/>
  <c r="AG40" i="7"/>
  <c r="AE90" i="7"/>
  <c r="AE89" i="7"/>
  <c r="AE91" i="7" l="1"/>
  <c r="DE7" i="1"/>
  <c r="DE11" i="1" s="1"/>
  <c r="DE14" i="1" s="1"/>
  <c r="DE16" i="1" s="1"/>
  <c r="DE19" i="1" s="1"/>
  <c r="DE21" i="1" s="1"/>
  <c r="DA11" i="1"/>
  <c r="DA14" i="1" s="1"/>
  <c r="DA16" i="1" s="1"/>
  <c r="DA19" i="1" s="1"/>
  <c r="AE78" i="7"/>
  <c r="AE77" i="7"/>
  <c r="AE75" i="7"/>
  <c r="AE74" i="7"/>
  <c r="AE73" i="7"/>
  <c r="AE72" i="7"/>
  <c r="CG28" i="2"/>
  <c r="CG25" i="2"/>
  <c r="CG12" i="2"/>
  <c r="CG8" i="2"/>
  <c r="CW15" i="3"/>
  <c r="CW10" i="3"/>
  <c r="DA21" i="1" l="1"/>
  <c r="CJ38" i="2"/>
  <c r="CF40" i="2"/>
  <c r="CF28" i="2"/>
  <c r="CF25" i="2"/>
  <c r="CF12" i="2"/>
  <c r="CF8" i="2"/>
  <c r="CV10" i="3"/>
  <c r="CU10" i="3" l="1"/>
  <c r="CE40" i="2"/>
  <c r="CE28" i="2"/>
  <c r="CE25" i="2"/>
  <c r="CE12" i="2"/>
  <c r="CE8" i="2"/>
  <c r="AD68" i="7" l="1"/>
  <c r="AC68" i="7"/>
  <c r="AB68" i="7"/>
  <c r="AA68" i="7"/>
  <c r="AD67" i="7"/>
  <c r="AC67" i="7"/>
  <c r="AB67" i="7"/>
  <c r="AA67" i="7"/>
  <c r="AD91" i="7"/>
  <c r="CX32" i="1" s="1"/>
  <c r="AC91" i="7"/>
  <c r="CW32" i="1" s="1"/>
  <c r="AB91" i="7"/>
  <c r="CV32" i="1" s="1"/>
  <c r="AD76" i="7"/>
  <c r="AC76" i="7"/>
  <c r="AC79" i="7" s="1"/>
  <c r="AB76" i="7"/>
  <c r="AD64" i="7"/>
  <c r="AC64" i="7"/>
  <c r="AB64" i="7"/>
  <c r="AD59" i="7"/>
  <c r="AC59" i="7"/>
  <c r="AB59" i="7"/>
  <c r="AD54" i="7"/>
  <c r="AC54" i="7"/>
  <c r="AB54" i="7"/>
  <c r="AD47" i="7"/>
  <c r="AD49" i="7" s="1"/>
  <c r="AC47" i="7"/>
  <c r="AC49" i="7" s="1"/>
  <c r="AB47" i="7"/>
  <c r="AB49" i="7" s="1"/>
  <c r="AD39" i="7"/>
  <c r="AC39" i="7"/>
  <c r="AB39" i="7"/>
  <c r="AD30" i="7"/>
  <c r="AD38" i="7" s="1"/>
  <c r="AC30" i="7"/>
  <c r="AC38" i="7" s="1"/>
  <c r="AB30" i="7"/>
  <c r="AB38" i="7" s="1"/>
  <c r="AD20" i="7"/>
  <c r="AD23" i="7" s="1"/>
  <c r="CX24" i="1" s="1"/>
  <c r="AC20" i="7"/>
  <c r="AC23" i="7" s="1"/>
  <c r="CW24" i="1" s="1"/>
  <c r="AB20" i="7"/>
  <c r="AB23" i="7" s="1"/>
  <c r="CV24" i="1" s="1"/>
  <c r="AD10" i="7"/>
  <c r="AD13" i="7" s="1"/>
  <c r="CX5" i="1" s="1"/>
  <c r="AC10" i="7"/>
  <c r="AC13" i="7" s="1"/>
  <c r="CW5" i="1" s="1"/>
  <c r="AB10" i="7"/>
  <c r="AB13" i="7" s="1"/>
  <c r="CV5" i="1" s="1"/>
  <c r="AA76" i="7"/>
  <c r="AA79" i="7" s="1"/>
  <c r="AA64" i="7"/>
  <c r="AE63" i="7"/>
  <c r="AE62" i="7"/>
  <c r="AA59" i="7"/>
  <c r="AE58" i="7"/>
  <c r="AE57" i="7"/>
  <c r="AA54" i="7"/>
  <c r="AE53" i="7"/>
  <c r="AE52" i="7"/>
  <c r="AE48" i="7"/>
  <c r="AA47" i="7"/>
  <c r="AA49" i="7" s="1"/>
  <c r="AE46" i="7"/>
  <c r="AE45" i="7"/>
  <c r="AE44" i="7"/>
  <c r="AE43" i="7"/>
  <c r="AA39" i="7"/>
  <c r="AE35" i="7"/>
  <c r="AE32" i="7"/>
  <c r="AE31" i="7"/>
  <c r="AA30" i="7"/>
  <c r="AA33" i="7" s="1"/>
  <c r="AE29" i="7"/>
  <c r="AE28" i="7"/>
  <c r="AE27" i="7"/>
  <c r="AE26" i="7"/>
  <c r="AE22" i="7"/>
  <c r="AE21" i="7"/>
  <c r="AA20" i="7"/>
  <c r="AA23" i="7" s="1"/>
  <c r="CU24" i="1" s="1"/>
  <c r="AE19" i="7"/>
  <c r="AE18" i="7"/>
  <c r="AE17" i="7"/>
  <c r="AE16" i="7"/>
  <c r="AE12" i="7"/>
  <c r="AE11" i="7"/>
  <c r="AA10" i="7"/>
  <c r="AA13" i="7" s="1"/>
  <c r="CU5" i="1" s="1"/>
  <c r="AE9" i="7"/>
  <c r="AE8" i="7"/>
  <c r="AE7" i="7"/>
  <c r="AE6" i="7"/>
  <c r="CX19" i="3"/>
  <c r="CW19" i="3"/>
  <c r="CV19" i="3"/>
  <c r="CX11" i="3"/>
  <c r="CX36" i="1" s="1"/>
  <c r="CW11" i="3"/>
  <c r="CV11" i="3"/>
  <c r="CU19" i="3"/>
  <c r="CY18" i="3"/>
  <c r="CY17" i="3"/>
  <c r="CY16" i="3"/>
  <c r="CV37" i="1"/>
  <c r="CY15" i="3"/>
  <c r="CY14" i="3"/>
  <c r="CY13" i="3"/>
  <c r="CU11" i="3"/>
  <c r="CY10" i="3"/>
  <c r="CY7" i="3"/>
  <c r="CY6" i="3"/>
  <c r="CH24" i="2"/>
  <c r="CH30" i="2" s="1"/>
  <c r="CG24" i="2"/>
  <c r="CG30" i="2" s="1"/>
  <c r="CF24" i="2"/>
  <c r="CF30" i="2" s="1"/>
  <c r="CH16" i="2"/>
  <c r="CG16" i="2"/>
  <c r="CF16" i="2"/>
  <c r="CH9" i="2"/>
  <c r="CG9" i="2"/>
  <c r="CF9" i="2"/>
  <c r="CE24" i="2"/>
  <c r="CE30" i="2" s="1"/>
  <c r="CE16" i="2"/>
  <c r="CE9" i="2"/>
  <c r="CX46" i="1"/>
  <c r="CW46" i="1"/>
  <c r="CV46" i="1"/>
  <c r="CU46" i="1"/>
  <c r="CY45" i="1"/>
  <c r="CX37" i="1"/>
  <c r="CW37" i="1"/>
  <c r="CY20" i="1"/>
  <c r="CY18" i="1"/>
  <c r="CY17" i="1"/>
  <c r="CY15" i="1"/>
  <c r="CY13" i="1"/>
  <c r="CY12" i="1"/>
  <c r="CY10" i="1"/>
  <c r="CY9" i="1"/>
  <c r="CY8" i="1"/>
  <c r="CV21" i="3" l="1"/>
  <c r="AD79" i="7"/>
  <c r="AE79" i="7" s="1"/>
  <c r="AE76" i="7"/>
  <c r="AD69" i="7"/>
  <c r="AC33" i="7"/>
  <c r="AB79" i="7"/>
  <c r="CX21" i="3"/>
  <c r="AB40" i="7"/>
  <c r="CV7" i="1" s="1"/>
  <c r="CV11" i="1" s="1"/>
  <c r="CV14" i="1" s="1"/>
  <c r="CV16" i="1" s="1"/>
  <c r="CV19" i="1" s="1"/>
  <c r="CV21" i="1" s="1"/>
  <c r="CF18" i="2"/>
  <c r="AB33" i="7"/>
  <c r="CG18" i="2"/>
  <c r="CV41" i="1" s="1"/>
  <c r="AC40" i="7"/>
  <c r="CW7" i="1" s="1"/>
  <c r="CW11" i="1" s="1"/>
  <c r="CW14" i="1" s="1"/>
  <c r="CW16" i="1" s="1"/>
  <c r="CW19" i="1" s="1"/>
  <c r="CW21" i="1" s="1"/>
  <c r="CG38" i="2" s="1"/>
  <c r="CW21" i="3"/>
  <c r="CH18" i="2"/>
  <c r="CW41" i="1" s="1"/>
  <c r="AD40" i="7"/>
  <c r="CX7" i="1" s="1"/>
  <c r="CX11" i="1" s="1"/>
  <c r="CX14" i="1" s="1"/>
  <c r="CX16" i="1" s="1"/>
  <c r="CX19" i="1" s="1"/>
  <c r="CX21" i="1" s="1"/>
  <c r="AE67" i="7"/>
  <c r="CU21" i="3"/>
  <c r="CE18" i="2"/>
  <c r="AA69" i="7"/>
  <c r="AE68" i="7"/>
  <c r="AC69" i="7"/>
  <c r="AB69" i="7"/>
  <c r="AE20" i="7"/>
  <c r="AE23" i="7" s="1"/>
  <c r="AD33" i="7"/>
  <c r="AE39" i="7"/>
  <c r="CY24" i="1"/>
  <c r="AE64" i="7"/>
  <c r="AE59" i="7"/>
  <c r="AE54" i="7"/>
  <c r="AE47" i="7"/>
  <c r="AE49" i="7" s="1"/>
  <c r="AE30" i="7"/>
  <c r="AE33" i="7" s="1"/>
  <c r="AE10" i="7"/>
  <c r="AE13" i="7" s="1"/>
  <c r="CY5" i="1"/>
  <c r="AA38" i="7"/>
  <c r="CY11" i="3"/>
  <c r="CW36" i="1"/>
  <c r="CY19" i="3"/>
  <c r="CY37" i="1"/>
  <c r="CU41" i="1"/>
  <c r="CR37" i="1"/>
  <c r="CC28" i="2"/>
  <c r="CC25" i="2"/>
  <c r="CC24" i="2"/>
  <c r="CC12" i="2"/>
  <c r="CC16" i="2" s="1"/>
  <c r="CC9" i="2"/>
  <c r="CR19" i="3"/>
  <c r="CR11" i="3"/>
  <c r="CR36" i="1" s="1"/>
  <c r="Y76" i="7"/>
  <c r="Y79" i="7" s="1"/>
  <c r="Y91" i="7"/>
  <c r="X91" i="7"/>
  <c r="X76" i="7"/>
  <c r="X79" i="7" s="1"/>
  <c r="X68" i="7"/>
  <c r="X67" i="7"/>
  <c r="W68" i="7"/>
  <c r="W67" i="7"/>
  <c r="X64" i="7"/>
  <c r="X59" i="7"/>
  <c r="X54" i="7"/>
  <c r="X47" i="7"/>
  <c r="X49" i="7" s="1"/>
  <c r="X40" i="7"/>
  <c r="CR7" i="1" s="1"/>
  <c r="CR11" i="1" s="1"/>
  <c r="CR14" i="1" s="1"/>
  <c r="CR16" i="1" s="1"/>
  <c r="CR19" i="1" s="1"/>
  <c r="CR21" i="1" s="1"/>
  <c r="X30" i="7"/>
  <c r="X33" i="7" s="1"/>
  <c r="X20" i="7"/>
  <c r="X23" i="7" s="1"/>
  <c r="CR24" i="1" s="1"/>
  <c r="Y9" i="7"/>
  <c r="Y8" i="7"/>
  <c r="Y7" i="7"/>
  <c r="Y6" i="7"/>
  <c r="X10" i="7"/>
  <c r="X13" i="7" s="1"/>
  <c r="CR5" i="1" s="1"/>
  <c r="CF38" i="2" l="1"/>
  <c r="W69" i="7"/>
  <c r="CC18" i="2"/>
  <c r="CR30" i="1" s="1"/>
  <c r="CR41" i="1" s="1"/>
  <c r="CC30" i="2"/>
  <c r="AE69" i="7"/>
  <c r="AE38" i="7"/>
  <c r="AE40" i="7" s="1"/>
  <c r="AA40" i="7"/>
  <c r="CU7" i="1" s="1"/>
  <c r="CY21" i="3"/>
  <c r="CV36" i="1"/>
  <c r="CY36" i="1" s="1"/>
  <c r="Y10" i="7"/>
  <c r="CR21" i="3"/>
  <c r="X69" i="7"/>
  <c r="CB28" i="2"/>
  <c r="CB25" i="2"/>
  <c r="CB24" i="2"/>
  <c r="CB12" i="2"/>
  <c r="CB16" i="2" s="1"/>
  <c r="CB8" i="2"/>
  <c r="CB9" i="2" s="1"/>
  <c r="CQ15" i="3"/>
  <c r="CQ37" i="1" s="1"/>
  <c r="CQ10" i="3"/>
  <c r="CQ11" i="3" s="1"/>
  <c r="W91" i="7"/>
  <c r="W64" i="7"/>
  <c r="W59" i="7"/>
  <c r="W76" i="7"/>
  <c r="W79" i="7" s="1"/>
  <c r="W54" i="7"/>
  <c r="W47" i="7"/>
  <c r="W49" i="7" s="1"/>
  <c r="W40" i="7"/>
  <c r="CQ7" i="1" s="1"/>
  <c r="W30" i="7"/>
  <c r="W33" i="7" s="1"/>
  <c r="W20" i="7"/>
  <c r="W23" i="7" s="1"/>
  <c r="CQ24" i="1" s="1"/>
  <c r="W10" i="7"/>
  <c r="W13" i="7" s="1"/>
  <c r="CQ5" i="1" s="1"/>
  <c r="CY7" i="1" l="1"/>
  <c r="CY11" i="1" s="1"/>
  <c r="CY14" i="1" s="1"/>
  <c r="CY16" i="1" s="1"/>
  <c r="CY19" i="1" s="1"/>
  <c r="CY21" i="1" s="1"/>
  <c r="CU11" i="1"/>
  <c r="CU14" i="1" s="1"/>
  <c r="CU16" i="1" s="1"/>
  <c r="CU19" i="1" s="1"/>
  <c r="CE38" i="2" s="1"/>
  <c r="CQ11" i="1"/>
  <c r="CQ14" i="1" s="1"/>
  <c r="CQ16" i="1" s="1"/>
  <c r="CQ19" i="1" s="1"/>
  <c r="CQ21" i="1" s="1"/>
  <c r="CB30" i="2"/>
  <c r="CB18" i="2"/>
  <c r="CQ30" i="1" s="1"/>
  <c r="CQ41" i="1" s="1"/>
  <c r="CQ36" i="1"/>
  <c r="CQ19" i="3"/>
  <c r="CQ21" i="3" s="1"/>
  <c r="CP10" i="3"/>
  <c r="CA28" i="2"/>
  <c r="CA25" i="2"/>
  <c r="CU21" i="1" l="1"/>
  <c r="CA12" i="2"/>
  <c r="CA8" i="2"/>
  <c r="CP15" i="3"/>
  <c r="V68" i="7"/>
  <c r="V67" i="7"/>
  <c r="Y67" i="7" l="1"/>
  <c r="V91" i="7"/>
  <c r="CP32" i="1" s="1"/>
  <c r="V76" i="7"/>
  <c r="V79" i="7" s="1"/>
  <c r="V69" i="7"/>
  <c r="V64" i="7"/>
  <c r="V59" i="7"/>
  <c r="V54" i="7"/>
  <c r="V47" i="7"/>
  <c r="V49" i="7" s="1"/>
  <c r="V39" i="7"/>
  <c r="V30" i="7"/>
  <c r="V38" i="7" s="1"/>
  <c r="V20" i="7"/>
  <c r="V10" i="7"/>
  <c r="V13" i="7" s="1"/>
  <c r="CP5" i="1" s="1"/>
  <c r="CP19" i="3"/>
  <c r="CP11" i="3"/>
  <c r="CP36" i="1" s="1"/>
  <c r="CA24" i="2"/>
  <c r="CA30" i="2" s="1"/>
  <c r="CA16" i="2"/>
  <c r="CA9" i="2"/>
  <c r="CP46" i="1"/>
  <c r="CP37" i="1"/>
  <c r="V40" i="7" l="1"/>
  <c r="CP7" i="1" s="1"/>
  <c r="CP11" i="1" s="1"/>
  <c r="CP14" i="1" s="1"/>
  <c r="CP16" i="1" s="1"/>
  <c r="CP19" i="1" s="1"/>
  <c r="CA38" i="2" s="1"/>
  <c r="CA18" i="2"/>
  <c r="CP30" i="1" s="1"/>
  <c r="CP41" i="1" s="1"/>
  <c r="CP21" i="3"/>
  <c r="V33" i="7"/>
  <c r="V23" i="7"/>
  <c r="CP24" i="1" s="1"/>
  <c r="M48" i="7"/>
  <c r="CP21" i="1" l="1"/>
  <c r="CO46" i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M90" i="7"/>
  <c r="M89" i="7"/>
  <c r="G90" i="7"/>
  <c r="G89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S91" i="7" l="1"/>
  <c r="M91" i="7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CS5" i="1" s="1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L49" i="7" s="1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BZ18" i="2"/>
  <c r="CO30" i="1" s="1"/>
  <c r="CO41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M49" i="7" s="1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3" i="7"/>
  <c r="G10" i="7"/>
  <c r="G13" i="7" s="1"/>
  <c r="G47" i="7"/>
  <c r="G49" i="7" s="1"/>
  <c r="G30" i="7"/>
  <c r="G33" i="7" s="1"/>
  <c r="G20" i="7"/>
  <c r="G23" i="7" s="1"/>
  <c r="CS11" i="3"/>
  <c r="CS45" i="1"/>
  <c r="CO37" i="1"/>
  <c r="CS37" i="1" s="1"/>
  <c r="CO36" i="1"/>
  <c r="CS36" i="1" s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 l="1"/>
  <c r="BW7" i="6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3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I24" i="2"/>
  <c r="BI30" i="2" s="1"/>
  <c r="BI15" i="2"/>
  <c r="BI16" i="2" s="1"/>
  <c r="BI9" i="2"/>
  <c r="BW36" i="1" l="1"/>
  <c r="CA36" i="1" s="1"/>
  <c r="BI18" i="2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26" i="4"/>
  <c r="BS27" i="4"/>
  <c r="BS24" i="4"/>
  <c r="BS13" i="4"/>
  <c r="BS16" i="4" s="1"/>
  <c r="BG41" i="2"/>
  <c r="BF41" i="2"/>
  <c r="BS39" i="4" l="1"/>
  <c r="BS25" i="4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C38" i="2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V16" i="4" s="1"/>
  <c r="AV25" i="4" s="1"/>
  <c r="AU13" i="4"/>
  <c r="AU16" i="4" s="1"/>
  <c r="AT13" i="4"/>
  <c r="AT16" i="4" s="1"/>
  <c r="AT25" i="4" s="1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H30" i="2" s="1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W16" i="4" s="1"/>
  <c r="W24" i="1" s="1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O16" i="4"/>
  <c r="AO25" i="4" s="1"/>
  <c r="P41" i="4"/>
  <c r="E41" i="4"/>
  <c r="K41" i="4"/>
  <c r="AW6" i="3"/>
  <c r="BC31" i="4"/>
  <c r="AY38" i="4"/>
  <c r="AY40" i="4"/>
  <c r="BB38" i="4"/>
  <c r="AX24" i="6" s="1"/>
  <c r="BB41" i="4"/>
  <c r="BC9" i="1"/>
  <c r="BE39" i="4"/>
  <c r="BE16" i="4"/>
  <c r="J41" i="4"/>
  <c r="AO11" i="1"/>
  <c r="AO14" i="1" s="1"/>
  <c r="AO16" i="1" s="1"/>
  <c r="AO19" i="1" s="1"/>
  <c r="AI38" i="2" s="1"/>
  <c r="AU11" i="1"/>
  <c r="AU14" i="1" s="1"/>
  <c r="AU16" i="1" s="1"/>
  <c r="AU19" i="1" s="1"/>
  <c r="C19" i="3"/>
  <c r="Y6" i="4"/>
  <c r="X40" i="4"/>
  <c r="AS40" i="4"/>
  <c r="BF11" i="1"/>
  <c r="BF14" i="1" s="1"/>
  <c r="BF16" i="1" s="1"/>
  <c r="BF19" i="1" s="1"/>
  <c r="X42" i="4"/>
  <c r="BI40" i="4"/>
  <c r="AD18" i="2" l="1"/>
  <c r="BC41" i="4"/>
  <c r="AO39" i="4"/>
  <c r="BL21" i="1"/>
  <c r="I39" i="4"/>
  <c r="AE18" i="2"/>
  <c r="Y40" i="4"/>
  <c r="Y18" i="2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U36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Z25" i="4" s="1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R26" i="6" s="1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G36" i="6" s="1"/>
  <c r="AW42" i="4"/>
  <c r="AW41" i="4"/>
  <c r="BI38" i="4"/>
  <c r="BI39" i="4" s="1"/>
  <c r="Q79" i="4"/>
  <c r="I79" i="4"/>
  <c r="AE42" i="4"/>
  <c r="W39" i="4"/>
  <c r="K39" i="4"/>
  <c r="AQ13" i="4"/>
  <c r="AQ39" i="4" s="1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E26" i="6"/>
  <c r="E28" i="6" s="1"/>
  <c r="AO21" i="1"/>
  <c r="AW38" i="2"/>
  <c r="BF21" i="1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AK21" i="3" l="1"/>
  <c r="R36" i="6"/>
  <c r="U26" i="6"/>
  <c r="U28" i="6" s="1"/>
  <c r="U32" i="6" s="1"/>
  <c r="AW21" i="3"/>
  <c r="S21" i="3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X28" i="6"/>
  <c r="X32" i="6" s="1"/>
  <c r="X33" i="6"/>
  <c r="J28" i="6"/>
  <c r="J32" i="6" s="1"/>
  <c r="J33" i="6"/>
  <c r="AB28" i="6" l="1"/>
  <c r="AB32" i="6" s="1"/>
  <c r="N33" i="6"/>
  <c r="BC33" i="6"/>
  <c r="BC24" i="1"/>
  <c r="AQ25" i="4"/>
  <c r="Y33" i="6"/>
  <c r="C37" i="2"/>
  <c r="C48" i="2" s="1"/>
  <c r="D35" i="2" s="1"/>
  <c r="D37" i="2" s="1"/>
  <c r="D48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8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8" i="2" s="1"/>
  <c r="H35" i="2" s="1"/>
  <c r="H37" i="2" s="1"/>
  <c r="H48" i="2" s="1"/>
  <c r="I35" i="2" s="1"/>
  <c r="I37" i="2" s="1"/>
  <c r="I48" i="2" s="1"/>
  <c r="J35" i="2" s="1"/>
  <c r="J37" i="2" s="1"/>
  <c r="J48" i="2" s="1"/>
  <c r="K35" i="2" s="1"/>
  <c r="K37" i="2" s="1"/>
  <c r="K48" i="2" s="1"/>
  <c r="M35" i="2" s="1"/>
  <c r="M37" i="2" s="1"/>
  <c r="M48" i="2" s="1"/>
  <c r="N35" i="2" s="1"/>
  <c r="N37" i="2" s="1"/>
  <c r="N48" i="2" s="1"/>
  <c r="O35" i="2" s="1"/>
  <c r="O37" i="2" s="1"/>
  <c r="O48" i="2" s="1"/>
  <c r="P35" i="2" s="1"/>
  <c r="P37" i="2" s="1"/>
  <c r="P48" i="2" s="1"/>
  <c r="R35" i="2" s="1"/>
  <c r="R37" i="2" s="1"/>
  <c r="R48" i="2" s="1"/>
  <c r="S35" i="2" s="1"/>
  <c r="S37" i="2" s="1"/>
  <c r="S48" i="2" s="1"/>
  <c r="T35" i="2" s="1"/>
  <c r="T37" i="2" s="1"/>
  <c r="T48" i="2" s="1"/>
  <c r="U35" i="2" s="1"/>
  <c r="U37" i="2" s="1"/>
  <c r="U48" i="2" s="1"/>
  <c r="W35" i="2" s="1"/>
  <c r="W37" i="2" s="1"/>
  <c r="W48" i="2" s="1"/>
  <c r="X35" i="2" s="1"/>
  <c r="X37" i="2" s="1"/>
  <c r="X48" i="2" s="1"/>
  <c r="Y35" i="2" s="1"/>
  <c r="Y37" i="2" s="1"/>
  <c r="Y48" i="2" s="1"/>
  <c r="Z35" i="2" s="1"/>
  <c r="Z37" i="2" s="1"/>
  <c r="Z48" i="2" s="1"/>
  <c r="AB35" i="2" s="1"/>
  <c r="AB37" i="2" s="1"/>
  <c r="AB48" i="2" s="1"/>
  <c r="AC35" i="2" s="1"/>
  <c r="AC37" i="2" s="1"/>
  <c r="AC48" i="2" s="1"/>
  <c r="AD35" i="2" s="1"/>
  <c r="AD37" i="2" s="1"/>
  <c r="AD48" i="2" s="1"/>
  <c r="AE35" i="2" s="1"/>
  <c r="AE37" i="2" s="1"/>
  <c r="AE48" i="2" s="1"/>
  <c r="AG35" i="2" s="1"/>
  <c r="AG37" i="2" s="1"/>
  <c r="AG48" i="2" s="1"/>
  <c r="AH35" i="2" s="1"/>
  <c r="AH37" i="2" s="1"/>
  <c r="AH48" i="2" s="1"/>
  <c r="AI35" i="2" s="1"/>
  <c r="AI37" i="2" s="1"/>
  <c r="AI48" i="2" s="1"/>
  <c r="AJ35" i="2" s="1"/>
  <c r="AJ37" i="2" s="1"/>
  <c r="AJ48" i="2" s="1"/>
  <c r="AL35" i="2" s="1"/>
  <c r="AL37" i="2" s="1"/>
  <c r="AL48" i="2" s="1"/>
  <c r="AM35" i="2" s="1"/>
  <c r="AM37" i="2" s="1"/>
  <c r="AM48" i="2" s="1"/>
  <c r="AN35" i="2" s="1"/>
  <c r="AN37" i="2" s="1"/>
  <c r="AN48" i="2" s="1"/>
  <c r="AO35" i="2" s="1"/>
  <c r="AO37" i="2" s="1"/>
  <c r="AO48" i="2" s="1"/>
  <c r="AQ35" i="2" s="1"/>
  <c r="AQ37" i="2" s="1"/>
  <c r="AQ48" i="2" s="1"/>
  <c r="AR35" i="2" s="1"/>
  <c r="AR37" i="2" s="1"/>
  <c r="AR48" i="2" s="1"/>
  <c r="AS35" i="2" s="1"/>
  <c r="AS37" i="2" s="1"/>
  <c r="AS48" i="2" s="1"/>
  <c r="AT35" i="2" s="1"/>
  <c r="AT37" i="2" s="1"/>
  <c r="AT48" i="2" s="1"/>
  <c r="AV35" i="2" s="1"/>
  <c r="AV37" i="2" s="1"/>
  <c r="AV48" i="2" s="1"/>
  <c r="AW35" i="2" s="1"/>
  <c r="AW37" i="2" s="1"/>
  <c r="AW48" i="2" s="1"/>
  <c r="AX35" i="2" s="1"/>
  <c r="AX37" i="2" s="1"/>
  <c r="AX48" i="2" s="1"/>
  <c r="AY35" i="2" s="1"/>
  <c r="AY37" i="2" s="1"/>
  <c r="AY48" i="2" s="1"/>
  <c r="BA35" i="2" s="1"/>
  <c r="BA37" i="2" s="1"/>
  <c r="BA48" i="2" s="1"/>
  <c r="BB35" i="2" s="1"/>
  <c r="BB37" i="2" s="1"/>
  <c r="BB48" i="2" s="1"/>
  <c r="BC35" i="2" s="1"/>
  <c r="BC37" i="2" s="1"/>
  <c r="BC48" i="2" s="1"/>
  <c r="BD35" i="2" s="1"/>
  <c r="BD37" i="2" s="1"/>
  <c r="BD48" i="2" s="1"/>
  <c r="BF35" i="2" s="1"/>
  <c r="BF37" i="2" s="1"/>
  <c r="BF48" i="2" s="1"/>
  <c r="BG35" i="2" s="1"/>
  <c r="BG37" i="2" s="1"/>
  <c r="BG48" i="2" s="1"/>
  <c r="BH35" i="2" s="1"/>
  <c r="BH37" i="2" s="1"/>
  <c r="BH48" i="2" s="1"/>
  <c r="BI35" i="2" s="1"/>
  <c r="BI37" i="2" s="1"/>
  <c r="BI48" i="2" s="1"/>
  <c r="BK35" i="2" s="1"/>
  <c r="BK37" i="2" s="1"/>
  <c r="BK48" i="2" s="1"/>
  <c r="BL35" i="2" s="1"/>
  <c r="BL37" i="2" s="1"/>
  <c r="BL48" i="2" s="1"/>
  <c r="BM35" i="2" l="1"/>
  <c r="BM37" i="2" s="1"/>
  <c r="BM48" i="2" s="1"/>
  <c r="BN35" i="2" l="1"/>
  <c r="BN37" i="2" s="1"/>
  <c r="BN48" i="2" s="1"/>
  <c r="BP35" i="2" l="1"/>
  <c r="BP37" i="2" s="1"/>
  <c r="BP48" i="2" s="1"/>
  <c r="BQ35" i="2" l="1"/>
  <c r="BQ37" i="2" s="1"/>
  <c r="BQ48" i="2" s="1"/>
  <c r="BR35" i="2" l="1"/>
  <c r="BR37" i="2" s="1"/>
  <c r="BR48" i="2" s="1"/>
  <c r="BS35" i="2" l="1"/>
  <c r="BS37" i="2" s="1"/>
  <c r="BS48" i="2" s="1"/>
  <c r="BU35" i="2" s="1"/>
  <c r="BU37" i="2" s="1"/>
  <c r="BU48" i="2" s="1"/>
  <c r="BV35" i="2" s="1"/>
  <c r="BV37" i="2" s="1"/>
  <c r="BV48" i="2" s="1"/>
  <c r="BW35" i="2" l="1"/>
  <c r="BW37" i="2" s="1"/>
  <c r="BW48" i="2" s="1"/>
  <c r="BX35" i="2" s="1"/>
  <c r="BX37" i="2" s="1"/>
  <c r="BX48" i="2" s="1"/>
  <c r="M8" i="7"/>
  <c r="M7" i="7"/>
  <c r="L10" i="7"/>
  <c r="L13" i="7" s="1"/>
  <c r="M6" i="7"/>
  <c r="M9" i="7"/>
  <c r="BZ35" i="2" l="1"/>
  <c r="BZ37" i="2" s="1"/>
  <c r="BZ48" i="2" s="1"/>
  <c r="CA35" i="2" s="1"/>
  <c r="CA37" i="2" s="1"/>
  <c r="M10" i="7"/>
  <c r="M13" i="7" s="1"/>
  <c r="F59" i="7"/>
  <c r="G58" i="7"/>
  <c r="G57" i="7"/>
  <c r="F64" i="7"/>
  <c r="G62" i="7"/>
  <c r="G63" i="7"/>
  <c r="CA48" i="2" l="1"/>
  <c r="CB35" i="2" s="1"/>
  <c r="CB37" i="2" s="1"/>
  <c r="CB48" i="2" s="1"/>
  <c r="CC35" i="2" s="1"/>
  <c r="CC37" i="2" s="1"/>
  <c r="CC48" i="2" s="1"/>
  <c r="CE35" i="2" s="1"/>
  <c r="CE37" i="2" s="1"/>
  <c r="CE48" i="2" s="1"/>
  <c r="G64" i="7"/>
  <c r="G59" i="7"/>
  <c r="CF35" i="2" l="1"/>
  <c r="CF37" i="2" s="1"/>
  <c r="CF48" i="2" s="1"/>
  <c r="CG35" i="2" l="1"/>
  <c r="CG37" i="2" s="1"/>
  <c r="CG48" i="2" s="1"/>
  <c r="CH35" i="2" s="1"/>
  <c r="CH37" i="2" l="1"/>
  <c r="CH48" i="2" s="1"/>
  <c r="CJ35" i="2" l="1"/>
  <c r="CJ37" i="2" s="1"/>
  <c r="CJ48" i="2" s="1"/>
  <c r="CK35" i="2" s="1"/>
  <c r="CK37" i="2" s="1"/>
  <c r="CK48" i="2" s="1"/>
  <c r="CL35" i="2" l="1"/>
  <c r="CL37" i="2" s="1"/>
  <c r="CL48" i="2" s="1"/>
  <c r="CM35" i="2" s="1"/>
  <c r="CM37" i="2" s="1"/>
  <c r="CL24" i="2"/>
  <c r="CL30" i="2" s="1"/>
  <c r="CM48" i="2" l="1"/>
  <c r="CO35" i="2" s="1"/>
  <c r="CO37" i="2" s="1"/>
  <c r="CO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<sst xmlns="http://schemas.openxmlformats.org/spreadsheetml/2006/main" count="838" uniqueCount="214">
  <si>
    <t>Revenue</t>
  </si>
  <si>
    <t>EBITDA</t>
  </si>
  <si>
    <t>EBIT</t>
  </si>
  <si>
    <t>EBITA</t>
  </si>
  <si>
    <t>Financial items (net)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</si>
  <si>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</si>
  <si>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</si>
  <si>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</si>
  <si>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</si>
  <si>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</si>
  <si>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</si>
  <si>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</si>
  <si>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</si>
  <si>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</si>
  <si>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</si>
  <si>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</si>
  <si>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</si>
  <si>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</si>
  <si>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</si>
  <si>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</si>
  <si>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</si>
  <si>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</si>
  <si>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</si>
  <si>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</si>
  <si>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</si>
  <si>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</si>
  <si>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</si>
  <si>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</si>
  <si>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</si>
  <si>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</si>
  <si>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</si>
  <si>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</si>
  <si>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</si>
  <si>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</si>
  <si>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</si>
  <si>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</si>
  <si>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</si>
  <si>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</si>
  <si>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</si>
  <si>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</si>
  <si>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</si>
  <si>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</si>
  <si>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</si>
  <si>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</si>
  <si>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</si>
  <si>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</si>
  <si>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</si>
  <si>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</si>
  <si>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</si>
  <si>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</si>
  <si>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</si>
  <si>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</si>
  <si>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</si>
  <si>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</si>
  <si>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</si>
  <si>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</si>
  <si>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</si>
  <si>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</si>
  <si>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</si>
  <si>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</si>
  <si>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</si>
  <si>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</si>
  <si>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</si>
  <si>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</si>
  <si>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</si>
  <si>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</si>
  <si>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</si>
  <si>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</si>
  <si>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</si>
  <si>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</si>
  <si>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</si>
  <si>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</si>
  <si>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</si>
  <si>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</si>
  <si>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</si>
  <si>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</si>
  <si>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</si>
  <si>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</si>
  <si>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</si>
  <si>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</si>
  <si>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</si>
  <si>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</si>
  <si>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</si>
  <si>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</si>
  <si>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</si>
  <si>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</si>
  <si>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</si>
  <si>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</si>
  <si>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</si>
  <si>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</si>
  <si>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</si>
  <si>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</si>
  <si>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</si>
  <si>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</si>
  <si>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</si>
  <si>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</si>
  <si>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</si>
  <si>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</si>
  <si>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</si>
  <si>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</si>
  <si>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</si>
  <si>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</si>
  <si>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</si>
  <si>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</si>
  <si>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</si>
  <si>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</si>
  <si>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</si>
  <si>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</si>
  <si>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</si>
  <si>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</si>
  <si>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</si>
  <si>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</si>
  <si>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</si>
  <si>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</si>
  <si>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</si>
  <si>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</si>
  <si>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</si>
  <si>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</si>
  <si>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</si>
  <si>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</si>
  <si>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</si>
  <si>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</si>
  <si>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</si>
  <si>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</si>
  <si>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</si>
  <si>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</si>
  <si>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</si>
  <si>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</si>
  <si>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</si>
  <si>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</si>
  <si>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</si>
  <si>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</si>
  <si>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</si>
  <si>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</si>
  <si>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</si>
  <si>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</si>
  <si>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</si>
  <si>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</si>
  <si>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</si>
  <si>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</si>
  <si>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</si>
  <si>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</si>
  <si>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</si>
  <si>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</si>
  <si>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</si>
  <si>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</si>
  <si>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</si>
  <si>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</si>
  <si>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</si>
  <si>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</si>
  <si>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</si>
  <si>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</si>
  <si>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</si>
  <si>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</si>
  <si>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</si>
  <si>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</si>
  <si>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</si>
  <si>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</si>
  <si>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</si>
  <si>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</si>
  <si>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</si>
  <si>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</si>
  <si>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</si>
  <si>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</si>
  <si>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</si>
  <si>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</si>
  <si>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</si>
  <si>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</si>
  <si>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</si>
  <si>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</si>
  <si>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</si>
  <si>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</si>
  <si>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</si>
  <si>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</si>
  <si>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</si>
  <si>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</si>
  <si>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</si>
  <si>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</si>
  <si>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</si>
  <si>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</si>
  <si>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</si>
  <si>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</si>
  <si>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</si>
  <si>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</si>
  <si>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</si>
  <si>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</si>
  <si>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</si>
  <si>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</si>
  <si>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</si>
  <si>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</si>
  <si>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</si>
  <si>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</si>
  <si>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</si>
  <si>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</si>
  <si>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</si>
  <si>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</si>
  <si>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</si>
  <si>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</si>
  <si>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</si>
  <si>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</si>
  <si>
    <t>2021</t>
  </si>
  <si>
    <t>Average numbers of employees</t>
  </si>
  <si>
    <t>-0.0</t>
  </si>
  <si>
    <t>EBT</t>
  </si>
  <si>
    <t>Net interest-bearing debt</t>
  </si>
  <si>
    <t>2022</t>
  </si>
  <si>
    <t>Note: 2022 excl. Photonics</t>
  </si>
  <si>
    <t>Note: Photonics is discontinued from Q2 2022</t>
  </si>
  <si>
    <t>Note: 2022 excl. Photonics for P&amp;L and cash flow</t>
  </si>
  <si>
    <t>(the total is eksklusive photonics)</t>
  </si>
  <si>
    <t>2023</t>
  </si>
  <si>
    <t>Note: 2023 excl. Photonics</t>
  </si>
  <si>
    <t>Note: Photonics is discontinued</t>
  </si>
  <si>
    <t>Deferred hedge gains and losses transferred to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</si>
</sst>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  <fill>
      <patternFill patternType="mediumGray"/>
    </fill>
    <fill>
      <patternFill patternType="mediumGray">
        <bgColor rgb="FFE3EAF7"/>
      </patternFill>
    </fill>
    <fill>
      <patternFill patternType="mediumGray">
        <bgColor theme="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4" fillId="0" borderId="9" xfId="0" applyNumberFormat="1" applyFont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4" fillId="0" borderId="1" xfId="0" applyFont="1" applyBorder="1"/>
    <xf numFmtId="170" fontId="4" fillId="0" borderId="1" xfId="0" applyNumberFormat="1" applyFont="1" applyBorder="1"/>
    <xf numFmtId="170" fontId="4" fillId="3" borderId="4" xfId="0" applyNumberFormat="1" applyFont="1" applyFill="1" applyBorder="1"/>
    <xf numFmtId="0" fontId="4" fillId="0" borderId="7" xfId="0" applyFont="1" applyBorder="1"/>
    <xf numFmtId="166" fontId="4" fillId="0" borderId="0" xfId="2" applyNumberFormat="1" applyFont="1" applyFill="1" applyBorder="1"/>
    <xf numFmtId="0" fontId="12" fillId="0" borderId="0" xfId="0" applyFont="1" applyAlignment="1">
      <alignment vertical="top"/>
    </xf>
    <xf numFmtId="170" fontId="4" fillId="0" borderId="7" xfId="0" applyNumberFormat="1" applyFont="1" applyBorder="1"/>
    <xf numFmtId="170" fontId="2" fillId="3" borderId="0" xfId="0" applyNumberFormat="1" applyFont="1" applyFill="1" applyBorder="1"/>
    <xf numFmtId="166" fontId="2" fillId="0" borderId="2" xfId="2" applyNumberFormat="1" applyFont="1" applyFill="1" applyBorder="1"/>
    <xf numFmtId="166" fontId="2" fillId="6" borderId="2" xfId="2" applyNumberFormat="1" applyFont="1" applyFill="1" applyBorder="1"/>
    <xf numFmtId="173" fontId="2" fillId="0" borderId="0" xfId="2" applyNumberFormat="1" applyFont="1" applyBorder="1"/>
    <xf numFmtId="173" fontId="2" fillId="6" borderId="0" xfId="2" applyNumberFormat="1" applyFont="1" applyFill="1" applyBorder="1"/>
    <xf numFmtId="173" fontId="4" fillId="0" borderId="0" xfId="2" applyNumberFormat="1" applyFont="1" applyBorder="1"/>
    <xf numFmtId="173" fontId="2" fillId="0" borderId="0" xfId="0" applyNumberFormat="1" applyFont="1" applyFill="1"/>
    <xf numFmtId="173" fontId="2" fillId="6" borderId="0" xfId="0" applyNumberFormat="1" applyFont="1" applyFill="1"/>
    <xf numFmtId="9" fontId="2" fillId="0" borderId="5" xfId="2" applyFont="1" applyBorder="1"/>
    <xf numFmtId="9" fontId="2" fillId="3" borderId="5" xfId="2" applyFont="1" applyFill="1" applyBorder="1"/>
    <xf numFmtId="9" fontId="2" fillId="6" borderId="5" xfId="2" applyFont="1" applyFill="1" applyBorder="1"/>
    <xf numFmtId="9" fontId="2" fillId="0" borderId="1" xfId="2" applyFont="1" applyBorder="1"/>
    <xf numFmtId="9" fontId="2" fillId="3" borderId="1" xfId="2" applyFont="1" applyFill="1" applyBorder="1"/>
    <xf numFmtId="9" fontId="2" fillId="6" borderId="1" xfId="2" applyFont="1" applyFill="1" applyBorder="1"/>
    <xf numFmtId="170" fontId="4" fillId="1" borderId="0" xfId="0" applyNumberFormat="1" applyFont="1" applyFill="1"/>
    <xf numFmtId="170" fontId="4" fillId="7" borderId="0" xfId="0" applyNumberFormat="1" applyFont="1" applyFill="1"/>
    <xf numFmtId="170" fontId="2" fillId="8" borderId="0" xfId="0" applyNumberFormat="1" applyFont="1" applyFill="1"/>
    <xf numFmtId="166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/>
    <xf numFmtId="3" fontId="2" fillId="6" borderId="0" xfId="2" applyNumberFormat="1" applyFont="1" applyFill="1" applyBorder="1"/>
    <xf numFmtId="3" fontId="2" fillId="0" borderId="0" xfId="0" applyNumberFormat="1" applyFont="1"/>
    <xf numFmtId="0" fontId="4" fillId="0" borderId="5" xfId="0" applyFont="1" applyFill="1" applyBorder="1"/>
    <xf numFmtId="3" fontId="4" fillId="0" borderId="2" xfId="2" applyNumberFormat="1" applyFont="1" applyFill="1" applyBorder="1"/>
    <xf numFmtId="3" fontId="2" fillId="6" borderId="2" xfId="2" applyNumberFormat="1" applyFont="1" applyFill="1" applyBorder="1"/>
    <xf numFmtId="3" fontId="2" fillId="0" borderId="2" xfId="0" applyNumberFormat="1" applyFont="1" applyBorder="1"/>
    <xf numFmtId="168" fontId="4" fillId="0" borderId="0" xfId="0" applyNumberFormat="1" applyFont="1" applyFill="1"/>
    <xf numFmtId="170" fontId="4" fillId="0" borderId="5" xfId="0" applyNumberFormat="1" applyFont="1" applyFill="1" applyBorder="1"/>
    <xf numFmtId="173" fontId="4" fillId="0" borderId="0" xfId="0" applyNumberFormat="1" applyFont="1" applyFill="1" applyBorder="1"/>
    <xf numFmtId="9" fontId="2" fillId="6" borderId="0" xfId="0" applyNumberFormat="1" applyFont="1" applyFill="1"/>
    <xf numFmtId="9" fontId="2" fillId="6" borderId="5" xfId="0" applyNumberFormat="1" applyFont="1" applyFill="1" applyBorder="1"/>
    <xf numFmtId="9" fontId="2" fillId="6" borderId="1" xfId="0" applyNumberFormat="1" applyFont="1" applyFill="1" applyBorder="1"/>
    <xf numFmtId="3" fontId="4" fillId="1" borderId="0" xfId="2" applyNumberFormat="1" applyFont="1" applyFill="1" applyBorder="1"/>
    <xf numFmtId="3" fontId="2" fillId="8" borderId="0" xfId="2" applyNumberFormat="1" applyFont="1" applyFill="1" applyBorder="1"/>
    <xf numFmtId="3" fontId="4" fillId="1" borderId="2" xfId="2" applyNumberFormat="1" applyFont="1" applyFill="1" applyBorder="1"/>
    <xf numFmtId="3" fontId="2" fillId="8" borderId="2" xfId="2" applyNumberFormat="1" applyFont="1" applyFill="1" applyBorder="1"/>
    <xf numFmtId="3" fontId="2" fillId="1" borderId="0" xfId="0" applyNumberFormat="1" applyFont="1" applyFill="1"/>
    <xf numFmtId="3" fontId="2" fillId="1" borderId="2" xfId="0" applyNumberFormat="1" applyFont="1" applyFill="1" applyBorder="1"/>
    <xf numFmtId="165" fontId="4" fillId="0" borderId="0" xfId="0" quotePrefix="1" applyNumberFormat="1" applyFont="1" applyFill="1" applyAlignment="1">
      <alignment horizontal="right"/>
    </xf>
    <xf numFmtId="170" fontId="4" fillId="9" borderId="0" xfId="0" applyNumberFormat="1" applyFont="1" applyFill="1"/>
    <xf numFmtId="170" fontId="2" fillId="9" borderId="5" xfId="0" applyNumberFormat="1" applyFont="1" applyFill="1" applyBorder="1"/>
    <xf numFmtId="170" fontId="2" fillId="10" borderId="5" xfId="0" applyNumberFormat="1" applyFont="1" applyFill="1" applyBorder="1"/>
    <xf numFmtId="170" fontId="4" fillId="11" borderId="0" xfId="0" applyNumberFormat="1" applyFont="1" applyFill="1"/>
    <xf numFmtId="170" fontId="2" fillId="10" borderId="0" xfId="0" applyNumberFormat="1" applyFont="1" applyFill="1"/>
    <xf numFmtId="170" fontId="4" fillId="9" borderId="0" xfId="0" applyNumberFormat="1" applyFont="1" applyFill="1" applyBorder="1"/>
    <xf numFmtId="170" fontId="4" fillId="11" borderId="0" xfId="0" applyNumberFormat="1" applyFont="1" applyFill="1" applyBorder="1"/>
    <xf numFmtId="170" fontId="2" fillId="10" borderId="0" xfId="0" applyNumberFormat="1" applyFont="1" applyFill="1" applyBorder="1"/>
    <xf numFmtId="173" fontId="4" fillId="9" borderId="0" xfId="0" applyNumberFormat="1" applyFont="1" applyFill="1" applyBorder="1"/>
    <xf numFmtId="173" fontId="4" fillId="9" borderId="4" xfId="0" applyNumberFormat="1" applyFont="1" applyFill="1" applyBorder="1"/>
    <xf numFmtId="173" fontId="2" fillId="9" borderId="5" xfId="0" applyNumberFormat="1" applyFont="1" applyFill="1" applyBorder="1"/>
    <xf numFmtId="173" fontId="4" fillId="9" borderId="0" xfId="0" applyNumberFormat="1" applyFont="1" applyFill="1"/>
    <xf numFmtId="9" fontId="2" fillId="9" borderId="1" xfId="2" applyFont="1" applyFill="1" applyBorder="1"/>
    <xf numFmtId="9" fontId="2" fillId="10" borderId="1" xfId="0" applyNumberFormat="1" applyFont="1" applyFill="1" applyBorder="1"/>
    <xf numFmtId="170" fontId="2" fillId="11" borderId="5" xfId="0" applyNumberFormat="1" applyFont="1" applyFill="1" applyBorder="1"/>
    <xf numFmtId="166" fontId="4" fillId="9" borderId="0" xfId="2" applyNumberFormat="1" applyFont="1" applyFill="1" applyBorder="1"/>
    <xf numFmtId="166" fontId="2" fillId="9" borderId="2" xfId="2" applyNumberFormat="1" applyFont="1" applyFill="1" applyBorder="1"/>
    <xf numFmtId="3" fontId="4" fillId="9" borderId="2" xfId="2" applyNumberFormat="1" applyFont="1" applyFill="1" applyBorder="1"/>
    <xf numFmtId="0" fontId="4" fillId="0" borderId="1" xfId="0" applyFont="1" applyFill="1" applyBorder="1"/>
    <xf numFmtId="169" fontId="2" fillId="6" borderId="0" xfId="1" applyNumberFormat="1" applyFont="1" applyFill="1" applyBorder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0554" cy="5637823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2023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zoomScale="130" zoomScaleNormal="130" workbookViewId="0">
      <selection activeCell="K8" sqref="K8"/>
    </sheetView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301" t="s">
        <v>151</v>
      </c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157"/>
      <c r="N9" s="156"/>
    </row>
    <row r="10" spans="1:14" ht="44.25" x14ac:dyDescent="0.55000000000000004">
      <c r="A10" s="156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157"/>
      <c r="N10" s="156"/>
    </row>
    <row r="11" spans="1:14" ht="44.25" x14ac:dyDescent="0.55000000000000004">
      <c r="A11" s="156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157"/>
      <c r="N11" s="156"/>
    </row>
    <row r="12" spans="1:14" ht="44.25" x14ac:dyDescent="0.55000000000000004">
      <c r="A12" s="156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48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48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48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K51"/>
  <sheetViews>
    <sheetView showGridLines="0" tabSelected="1" zoomScale="90" zoomScaleNormal="90" zoomScaleSheetLayoutView="75" workbookViewId="0">
      <pane xSplit="1" ySplit="3" topLeftCell="CW4" activePane="bottomRight" state="frozen"/>
      <selection activeCell="O4" sqref="O4"/>
      <selection pane="topRight" activeCell="O4" sqref="O4"/>
      <selection pane="bottomLeft" activeCell="O4" sqref="O4"/>
      <selection pane="bottomRight" activeCell="DH30" sqref="DH30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97" width="9.140625" style="2"/>
    <col min="98" max="98" width="3.7109375" style="2" customWidth="1"/>
    <col min="99" max="16384" width="9.140625" style="2"/>
  </cols>
  <sheetData>
    <row r="1" spans="1:115" x14ac:dyDescent="0.2">
      <c r="C1" s="303"/>
      <c r="D1" s="303"/>
      <c r="E1" s="303"/>
      <c r="F1" s="303"/>
      <c r="G1" s="303"/>
      <c r="I1" s="303"/>
      <c r="J1" s="303"/>
      <c r="K1" s="303"/>
      <c r="L1" s="303"/>
      <c r="M1" s="303"/>
      <c r="O1" s="303"/>
      <c r="P1" s="303"/>
      <c r="Q1" s="303"/>
      <c r="R1" s="303"/>
      <c r="S1" s="303"/>
      <c r="U1" s="303"/>
      <c r="V1" s="303"/>
      <c r="W1" s="303"/>
      <c r="X1" s="303"/>
      <c r="Y1" s="303"/>
      <c r="AA1" s="303"/>
      <c r="AB1" s="303"/>
      <c r="AC1" s="303"/>
      <c r="AD1" s="303"/>
      <c r="AE1" s="303"/>
      <c r="AG1" s="303"/>
      <c r="AH1" s="303"/>
      <c r="AI1" s="303"/>
      <c r="AJ1" s="303"/>
      <c r="AK1" s="303"/>
      <c r="AM1" s="303"/>
      <c r="AN1" s="303"/>
      <c r="AO1" s="303"/>
      <c r="AP1" s="303"/>
      <c r="AQ1" s="303"/>
      <c r="AS1" s="303"/>
      <c r="AT1" s="303"/>
      <c r="AU1" s="303"/>
      <c r="AV1" s="303"/>
      <c r="AW1" s="303"/>
      <c r="AY1" s="303"/>
      <c r="AZ1" s="303"/>
      <c r="BA1" s="303"/>
      <c r="BB1" s="303"/>
      <c r="BC1" s="303"/>
      <c r="BE1" s="303"/>
      <c r="BF1" s="303"/>
      <c r="BG1" s="303"/>
      <c r="BH1" s="303"/>
      <c r="BI1" s="303"/>
      <c r="BK1" s="303"/>
      <c r="BL1" s="303"/>
      <c r="BM1" s="303"/>
      <c r="BN1" s="303"/>
      <c r="BO1" s="303"/>
      <c r="BQ1" s="303"/>
      <c r="BR1" s="303"/>
      <c r="BS1" s="303"/>
      <c r="BT1" s="303"/>
      <c r="BU1" s="303"/>
      <c r="BW1" s="305" t="s">
        <v>165</v>
      </c>
      <c r="BX1" s="305"/>
      <c r="BY1" s="305"/>
      <c r="BZ1" s="305"/>
      <c r="CA1" s="305"/>
      <c r="CC1" s="305"/>
      <c r="CD1" s="305"/>
      <c r="CE1" s="305"/>
      <c r="CF1" s="305"/>
      <c r="CG1" s="305"/>
      <c r="CI1" s="305"/>
      <c r="CJ1" s="305"/>
      <c r="CK1" s="305"/>
      <c r="CL1" s="305"/>
      <c r="CM1" s="305"/>
      <c r="DA1" s="305" t="s">
        <v>208</v>
      </c>
      <c r="DB1" s="305"/>
      <c r="DC1" s="305"/>
      <c r="DD1" s="305"/>
      <c r="DE1" s="305"/>
      <c r="DG1" s="305" t="s">
        <v>208</v>
      </c>
      <c r="DH1" s="305"/>
      <c r="DI1" s="305"/>
      <c r="DJ1" s="305"/>
      <c r="DK1" s="305"/>
    </row>
    <row r="2" spans="1:115" x14ac:dyDescent="0.2">
      <c r="A2" s="1" t="s">
        <v>152</v>
      </c>
      <c r="C2" s="304">
        <v>2005</v>
      </c>
      <c r="D2" s="304"/>
      <c r="E2" s="304"/>
      <c r="F2" s="304"/>
      <c r="G2" s="304"/>
      <c r="I2" s="304">
        <v>2006</v>
      </c>
      <c r="J2" s="304"/>
      <c r="K2" s="304"/>
      <c r="L2" s="304"/>
      <c r="M2" s="304"/>
      <c r="O2" s="304">
        <v>2007</v>
      </c>
      <c r="P2" s="304"/>
      <c r="Q2" s="304"/>
      <c r="R2" s="304"/>
      <c r="S2" s="304"/>
      <c r="U2" s="304">
        <v>2008</v>
      </c>
      <c r="V2" s="304"/>
      <c r="W2" s="304"/>
      <c r="X2" s="304"/>
      <c r="Y2" s="304"/>
      <c r="AA2" s="304">
        <v>2009</v>
      </c>
      <c r="AB2" s="304"/>
      <c r="AC2" s="304"/>
      <c r="AD2" s="304"/>
      <c r="AE2" s="304"/>
      <c r="AG2" s="304">
        <v>2010</v>
      </c>
      <c r="AH2" s="304"/>
      <c r="AI2" s="304"/>
      <c r="AJ2" s="304"/>
      <c r="AK2" s="304"/>
      <c r="AM2" s="304">
        <v>2011</v>
      </c>
      <c r="AN2" s="304"/>
      <c r="AO2" s="304"/>
      <c r="AP2" s="304"/>
      <c r="AQ2" s="304"/>
      <c r="AS2" s="304">
        <v>2012</v>
      </c>
      <c r="AT2" s="304"/>
      <c r="AU2" s="304"/>
      <c r="AV2" s="304"/>
      <c r="AW2" s="304"/>
      <c r="AY2" s="304">
        <v>2013</v>
      </c>
      <c r="AZ2" s="304"/>
      <c r="BA2" s="304"/>
      <c r="BB2" s="304"/>
      <c r="BC2" s="304"/>
      <c r="BE2" s="304">
        <v>2014</v>
      </c>
      <c r="BF2" s="304"/>
      <c r="BG2" s="304"/>
      <c r="BH2" s="304"/>
      <c r="BI2" s="304"/>
      <c r="BK2" s="304">
        <v>2015</v>
      </c>
      <c r="BL2" s="304"/>
      <c r="BM2" s="304"/>
      <c r="BN2" s="304"/>
      <c r="BO2" s="304"/>
      <c r="BQ2" s="304">
        <v>2016</v>
      </c>
      <c r="BR2" s="304"/>
      <c r="BS2" s="304"/>
      <c r="BT2" s="304"/>
      <c r="BU2" s="304"/>
      <c r="BW2" s="304">
        <v>2017</v>
      </c>
      <c r="BX2" s="304"/>
      <c r="BY2" s="304"/>
      <c r="BZ2" s="304"/>
      <c r="CA2" s="304"/>
      <c r="CC2" s="304">
        <v>2018</v>
      </c>
      <c r="CD2" s="304"/>
      <c r="CE2" s="304"/>
      <c r="CF2" s="304"/>
      <c r="CG2" s="304"/>
      <c r="CI2" s="304">
        <v>2019</v>
      </c>
      <c r="CJ2" s="304"/>
      <c r="CK2" s="304"/>
      <c r="CL2" s="304"/>
      <c r="CM2" s="304"/>
      <c r="CO2" s="304">
        <v>2020</v>
      </c>
      <c r="CP2" s="304"/>
      <c r="CQ2" s="304"/>
      <c r="CR2" s="304"/>
      <c r="CS2" s="304"/>
      <c r="CU2" s="304">
        <v>2021</v>
      </c>
      <c r="CV2" s="304"/>
      <c r="CW2" s="304"/>
      <c r="CX2" s="304"/>
      <c r="CY2" s="304"/>
      <c r="DA2" s="304">
        <v>2022</v>
      </c>
      <c r="DB2" s="304"/>
      <c r="DC2" s="304"/>
      <c r="DD2" s="304"/>
      <c r="DE2" s="304"/>
      <c r="DG2" s="304">
        <v>2023</v>
      </c>
      <c r="DH2" s="304"/>
      <c r="DI2" s="304"/>
      <c r="DJ2" s="304"/>
      <c r="DK2" s="304"/>
    </row>
    <row r="3" spans="1:115" s="170" customFormat="1" x14ac:dyDescent="0.2">
      <c r="A3" s="169" t="s">
        <v>103</v>
      </c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N3" s="172"/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T3" s="172"/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Z3" s="172"/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  <c r="AM3" s="172" t="s">
        <v>9</v>
      </c>
      <c r="AN3" s="172" t="s">
        <v>10</v>
      </c>
      <c r="AO3" s="172" t="s">
        <v>11</v>
      </c>
      <c r="AP3" s="172" t="s">
        <v>12</v>
      </c>
      <c r="AQ3" s="172" t="s">
        <v>13</v>
      </c>
      <c r="AS3" s="172" t="s">
        <v>9</v>
      </c>
      <c r="AT3" s="172" t="s">
        <v>10</v>
      </c>
      <c r="AU3" s="172" t="s">
        <v>11</v>
      </c>
      <c r="AV3" s="172" t="s">
        <v>12</v>
      </c>
      <c r="AW3" s="172" t="s">
        <v>13</v>
      </c>
      <c r="AY3" s="172" t="s">
        <v>9</v>
      </c>
      <c r="AZ3" s="172" t="s">
        <v>10</v>
      </c>
      <c r="BA3" s="172" t="s">
        <v>11</v>
      </c>
      <c r="BB3" s="172" t="s">
        <v>12</v>
      </c>
      <c r="BC3" s="172" t="s">
        <v>13</v>
      </c>
      <c r="BE3" s="172" t="s">
        <v>9</v>
      </c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  <c r="CO3" s="172" t="s">
        <v>9</v>
      </c>
      <c r="CP3" s="172" t="s">
        <v>10</v>
      </c>
      <c r="CQ3" s="172" t="s">
        <v>11</v>
      </c>
      <c r="CR3" s="172" t="s">
        <v>12</v>
      </c>
      <c r="CS3" s="172" t="s">
        <v>13</v>
      </c>
      <c r="CU3" s="172" t="s">
        <v>9</v>
      </c>
      <c r="CV3" s="172" t="s">
        <v>10</v>
      </c>
      <c r="CW3" s="172" t="s">
        <v>11</v>
      </c>
      <c r="CX3" s="172" t="s">
        <v>12</v>
      </c>
      <c r="CY3" s="172" t="s">
        <v>13</v>
      </c>
      <c r="DA3" s="172" t="s">
        <v>9</v>
      </c>
      <c r="DB3" s="172" t="s">
        <v>10</v>
      </c>
      <c r="DC3" s="172" t="s">
        <v>11</v>
      </c>
      <c r="DD3" s="172" t="s">
        <v>12</v>
      </c>
      <c r="DE3" s="172" t="s">
        <v>13</v>
      </c>
      <c r="DG3" s="172" t="s">
        <v>9</v>
      </c>
      <c r="DH3" s="172" t="s">
        <v>10</v>
      </c>
      <c r="DI3" s="172" t="s">
        <v>11</v>
      </c>
      <c r="DJ3" s="172" t="s">
        <v>12</v>
      </c>
      <c r="DK3" s="172" t="s">
        <v>13</v>
      </c>
    </row>
    <row r="4" spans="1:115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  <c r="CY4" s="36"/>
      <c r="DE4" s="36"/>
      <c r="DK4" s="36"/>
    </row>
    <row r="5" spans="1:115" s="42" customFormat="1" ht="18.75" customHeight="1" x14ac:dyDescent="0.2">
      <c r="A5" s="42" t="s">
        <v>125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2017-2023'!U13</f>
        <v>331.09999999999997</v>
      </c>
      <c r="CP5" s="73">
        <f>+'Segment Data 2017-2023'!V13</f>
        <v>372.40000000000003</v>
      </c>
      <c r="CQ5" s="73">
        <f>+'Segment Data 2017-2023'!W13</f>
        <v>393.09999999999997</v>
      </c>
      <c r="CR5" s="73">
        <f>+'Segment Data 2017-2023'!X13</f>
        <v>373.59999999999997</v>
      </c>
      <c r="CS5" s="74">
        <f>SUM(CO5:CR5)</f>
        <v>1470.1999999999998</v>
      </c>
      <c r="CU5" s="73">
        <f>+'Segment Data 2017-2023'!AA13</f>
        <v>429.59999999999997</v>
      </c>
      <c r="CV5" s="73">
        <f>+'Segment Data 2017-2023'!AB13</f>
        <v>515.6</v>
      </c>
      <c r="CW5" s="73">
        <f>+'Segment Data 2017-2023'!AC13</f>
        <v>498.2</v>
      </c>
      <c r="CX5" s="73">
        <f>+'Segment Data 2017-2023'!AD13</f>
        <v>463.3</v>
      </c>
      <c r="CY5" s="74">
        <f>SUM(CU5:CX5)</f>
        <v>1906.7</v>
      </c>
      <c r="DA5" s="73">
        <f>+'Segment Data 2017-2023'!AG10</f>
        <v>489.5</v>
      </c>
      <c r="DB5" s="73">
        <f>+'Segment Data 2017-2023'!AH10</f>
        <v>578.00000000000011</v>
      </c>
      <c r="DC5" s="73">
        <f>+'Segment Data 2017-2023'!AI10</f>
        <v>492.00000000000006</v>
      </c>
      <c r="DD5" s="73">
        <f>+'Segment Data 2017-2023'!AJ10</f>
        <v>519.5</v>
      </c>
      <c r="DE5" s="74">
        <f>SUM(DA5:DD5)</f>
        <v>2079</v>
      </c>
      <c r="DG5" s="73">
        <f>+'Segment Data 2017-2023'!AM10</f>
        <v>589.5</v>
      </c>
      <c r="DH5" s="73"/>
      <c r="DI5" s="73"/>
      <c r="DJ5" s="73"/>
      <c r="DK5" s="74"/>
    </row>
    <row r="6" spans="1:115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  <c r="CU6" s="7"/>
      <c r="CV6" s="7"/>
      <c r="CW6" s="7"/>
      <c r="CX6" s="7"/>
      <c r="CY6" s="37"/>
      <c r="DA6" s="7"/>
      <c r="DB6" s="7"/>
      <c r="DC6" s="7"/>
      <c r="DD6" s="7"/>
      <c r="DE6" s="37"/>
      <c r="DG6" s="7"/>
      <c r="DH6" s="7"/>
      <c r="DI6" s="7"/>
      <c r="DJ6" s="7"/>
      <c r="DK6" s="37"/>
    </row>
    <row r="7" spans="1:115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2017-2023'!U40</f>
        <v>7.9999999999999991</v>
      </c>
      <c r="CP7" s="76">
        <f>+'Segment Data 2017-2023'!V40</f>
        <v>6.5000000000000009</v>
      </c>
      <c r="CQ7" s="76">
        <f>+'Segment Data 2017-2023'!W40</f>
        <v>21.4</v>
      </c>
      <c r="CR7" s="76">
        <f>+'Segment Data 2017-2023'!X40</f>
        <v>13.5</v>
      </c>
      <c r="CS7" s="75">
        <f>SUM(CO7:CR7)</f>
        <v>49.4</v>
      </c>
      <c r="CU7" s="76">
        <f>+'Segment Data 2017-2023'!AA40</f>
        <v>30.8</v>
      </c>
      <c r="CV7" s="76">
        <f>+'Segment Data 2017-2023'!AB40</f>
        <v>42.4</v>
      </c>
      <c r="CW7" s="76">
        <f>+'Segment Data 2017-2023'!AC40</f>
        <v>33.500000000000007</v>
      </c>
      <c r="CX7" s="76">
        <f>+'Segment Data 2017-2023'!AD40</f>
        <v>19.200000000000003</v>
      </c>
      <c r="CY7" s="75">
        <f>SUM(CU7:CX7)</f>
        <v>125.90000000000002</v>
      </c>
      <c r="DA7" s="76">
        <f>+'Segment Data 2017-2023'!AG38</f>
        <v>38.799999999999997</v>
      </c>
      <c r="DB7" s="76">
        <f>+'Segment Data 2017-2023'!AH38</f>
        <v>40.9</v>
      </c>
      <c r="DC7" s="76">
        <f>+'Segment Data 2017-2023'!AI38</f>
        <v>35.199999999999996</v>
      </c>
      <c r="DD7" s="76">
        <f>+'Segment Data 2017-2023'!AJ38</f>
        <v>39.700000000000003</v>
      </c>
      <c r="DE7" s="75">
        <f>SUM(DA7:DD7)</f>
        <v>154.59999999999997</v>
      </c>
      <c r="DG7" s="76">
        <f>+'Segment Data 2017-2023'!AM38</f>
        <v>56.9</v>
      </c>
      <c r="DH7" s="76"/>
      <c r="DI7" s="76"/>
      <c r="DJ7" s="76"/>
      <c r="DK7" s="75"/>
    </row>
    <row r="8" spans="1:115" x14ac:dyDescent="0.2">
      <c r="A8" s="2" t="s">
        <v>45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>
        <v>-17.100000000000001</v>
      </c>
      <c r="CQ8" s="31">
        <v>-16.899999999999999</v>
      </c>
      <c r="CR8" s="85">
        <v>-18.7</v>
      </c>
      <c r="CS8" s="75">
        <f>SUM(CO8:CR8)</f>
        <v>-70.5</v>
      </c>
      <c r="CT8" s="199"/>
      <c r="CU8" s="31">
        <v>-17.2</v>
      </c>
      <c r="CV8" s="31">
        <v>-17.3</v>
      </c>
      <c r="CW8" s="31">
        <v>-19.7</v>
      </c>
      <c r="CX8" s="31">
        <v>-20.7</v>
      </c>
      <c r="CY8" s="75">
        <f>SUM(CU8:CX8)</f>
        <v>-74.900000000000006</v>
      </c>
      <c r="DA8" s="31">
        <v>-15.3</v>
      </c>
      <c r="DB8" s="31">
        <v>-15.9</v>
      </c>
      <c r="DC8" s="31">
        <v>-15.2</v>
      </c>
      <c r="DD8" s="31">
        <v>-16.3</v>
      </c>
      <c r="DE8" s="75">
        <f>SUM(DA8:DD8)</f>
        <v>-62.7</v>
      </c>
      <c r="DG8" s="31">
        <v>-17</v>
      </c>
      <c r="DH8" s="31"/>
      <c r="DI8" s="31"/>
      <c r="DJ8" s="31"/>
      <c r="DK8" s="75"/>
    </row>
    <row r="9" spans="1:115" x14ac:dyDescent="0.2">
      <c r="A9" s="2" t="s">
        <v>87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>
        <v>-5.5</v>
      </c>
      <c r="CQ9" s="31">
        <v>-6.4</v>
      </c>
      <c r="CR9" s="85">
        <v>-9.5</v>
      </c>
      <c r="CS9" s="75">
        <f>SUM(CO9:CR9)</f>
        <v>-26.8</v>
      </c>
      <c r="CT9" s="199"/>
      <c r="CU9" s="31">
        <v>-7.5</v>
      </c>
      <c r="CV9" s="31">
        <v>-7.6</v>
      </c>
      <c r="CW9" s="31">
        <v>-7.5</v>
      </c>
      <c r="CX9" s="31">
        <v>-11.6</v>
      </c>
      <c r="CY9" s="75">
        <f>SUM(CU9:CX9)</f>
        <v>-34.200000000000003</v>
      </c>
      <c r="DA9" s="31">
        <v>-4.3</v>
      </c>
      <c r="DB9" s="31">
        <v>-4.3</v>
      </c>
      <c r="DC9" s="31">
        <v>-4.2</v>
      </c>
      <c r="DD9" s="31">
        <v>-9.9</v>
      </c>
      <c r="DE9" s="75">
        <f>SUM(DA9:DD9)</f>
        <v>-22.700000000000003</v>
      </c>
      <c r="DG9" s="31">
        <v>-5.4</v>
      </c>
      <c r="DH9" s="31"/>
      <c r="DI9" s="31"/>
      <c r="DJ9" s="31"/>
      <c r="DK9" s="75"/>
    </row>
    <row r="10" spans="1:115" s="47" customFormat="1" x14ac:dyDescent="0.2">
      <c r="A10" s="47" t="s">
        <v>92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>
        <v>0</v>
      </c>
      <c r="CQ10" s="77">
        <v>0</v>
      </c>
      <c r="CR10" s="86">
        <v>0</v>
      </c>
      <c r="CS10" s="78">
        <f>SUM(CO10:CR10)</f>
        <v>0</v>
      </c>
      <c r="CU10" s="77">
        <v>0</v>
      </c>
      <c r="CV10" s="77">
        <v>0</v>
      </c>
      <c r="CW10" s="77">
        <v>0</v>
      </c>
      <c r="CX10" s="77">
        <v>0</v>
      </c>
      <c r="CY10" s="78">
        <f>SUM(CU10:CX10)</f>
        <v>0</v>
      </c>
      <c r="DA10" s="77">
        <v>0</v>
      </c>
      <c r="DB10" s="77">
        <v>0</v>
      </c>
      <c r="DC10" s="77">
        <v>0</v>
      </c>
      <c r="DD10" s="77">
        <v>0</v>
      </c>
      <c r="DE10" s="78">
        <f>SUM(DA10:DD10)</f>
        <v>0</v>
      </c>
      <c r="DG10" s="77">
        <v>0</v>
      </c>
      <c r="DH10" s="77"/>
      <c r="DI10" s="77"/>
      <c r="DJ10" s="77"/>
      <c r="DK10" s="78"/>
    </row>
    <row r="11" spans="1:115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>
        <f>SUM(CP7:CP10)</f>
        <v>-16.100000000000001</v>
      </c>
      <c r="CQ11" s="87">
        <f>SUM(CQ7:CQ10)</f>
        <v>-1.9000000000000004</v>
      </c>
      <c r="CR11" s="87">
        <f>SUM(CR7:CR10)</f>
        <v>-14.7</v>
      </c>
      <c r="CS11" s="88">
        <f>SUM(CS7:CS10)</f>
        <v>-47.900000000000006</v>
      </c>
      <c r="CU11" s="87">
        <f>SUM(CU7:CU10)</f>
        <v>6.1000000000000014</v>
      </c>
      <c r="CV11" s="87">
        <f>SUM(CV7:CV10)</f>
        <v>17.5</v>
      </c>
      <c r="CW11" s="87">
        <f>SUM(CW7:CW10)</f>
        <v>6.3000000000000078</v>
      </c>
      <c r="CX11" s="87">
        <f>SUM(CX7:CX10)</f>
        <v>-13.099999999999996</v>
      </c>
      <c r="CY11" s="88">
        <f>SUM(CY7:CY10)</f>
        <v>16.800000000000011</v>
      </c>
      <c r="DA11" s="87">
        <f>SUM(DA7:DA10)</f>
        <v>19.199999999999996</v>
      </c>
      <c r="DB11" s="87">
        <f>SUM(DB7:DB10)</f>
        <v>20.7</v>
      </c>
      <c r="DC11" s="87">
        <f>SUM(DC7:DC10)</f>
        <v>15.799999999999997</v>
      </c>
      <c r="DD11" s="87">
        <f>SUM(DD7:DD10)</f>
        <v>13.500000000000002</v>
      </c>
      <c r="DE11" s="88">
        <f>SUM(DE7:DE10)</f>
        <v>69.19999999999996</v>
      </c>
      <c r="DG11" s="87">
        <f>SUM(DG7:DG10)</f>
        <v>34.5</v>
      </c>
      <c r="DH11" s="87"/>
      <c r="DI11" s="87"/>
      <c r="DJ11" s="87"/>
      <c r="DK11" s="88"/>
    </row>
    <row r="12" spans="1:115" hidden="1" x14ac:dyDescent="0.2">
      <c r="A12" s="2" t="s">
        <v>44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  <c r="CU12" s="31"/>
      <c r="CV12" s="31"/>
      <c r="CW12" s="31"/>
      <c r="CX12" s="31"/>
      <c r="CY12" s="75">
        <f>SUM(CU12:CX12)</f>
        <v>0</v>
      </c>
      <c r="DA12" s="31"/>
      <c r="DB12" s="31"/>
      <c r="DC12" s="31"/>
      <c r="DD12" s="31"/>
      <c r="DE12" s="75">
        <f>SUM(DA12:DD12)</f>
        <v>0</v>
      </c>
      <c r="DG12" s="31"/>
      <c r="DH12" s="31"/>
      <c r="DI12" s="31"/>
      <c r="DJ12" s="31"/>
      <c r="DK12" s="75"/>
    </row>
    <row r="13" spans="1:115" s="47" customFormat="1" x14ac:dyDescent="0.2">
      <c r="A13" s="47" t="s">
        <v>93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>
        <v>0</v>
      </c>
      <c r="CQ13" s="77">
        <v>0</v>
      </c>
      <c r="CR13" s="77">
        <v>0</v>
      </c>
      <c r="CS13" s="78">
        <f>SUM(CO13:CR13)</f>
        <v>0</v>
      </c>
      <c r="CU13" s="77">
        <v>0</v>
      </c>
      <c r="CV13" s="77">
        <v>0</v>
      </c>
      <c r="CW13" s="77">
        <v>0</v>
      </c>
      <c r="CX13" s="77">
        <v>0</v>
      </c>
      <c r="CY13" s="78">
        <f>SUM(CU13:CX13)</f>
        <v>0</v>
      </c>
      <c r="DA13" s="77">
        <v>0</v>
      </c>
      <c r="DB13" s="77">
        <v>0</v>
      </c>
      <c r="DC13" s="77">
        <v>0</v>
      </c>
      <c r="DD13" s="77">
        <v>0</v>
      </c>
      <c r="DE13" s="78">
        <f>SUM(DA13:DD13)</f>
        <v>0</v>
      </c>
      <c r="DG13" s="77">
        <v>0</v>
      </c>
      <c r="DH13" s="77"/>
      <c r="DI13" s="77"/>
      <c r="DJ13" s="77"/>
      <c r="DK13" s="78"/>
    </row>
    <row r="14" spans="1:115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>
        <f>SUM(CP11:CP13)</f>
        <v>-16.100000000000001</v>
      </c>
      <c r="CQ14" s="76">
        <f>SUM(CQ11:CQ13)</f>
        <v>-1.9000000000000004</v>
      </c>
      <c r="CR14" s="76">
        <f>SUM(CR11:CR13)</f>
        <v>-14.7</v>
      </c>
      <c r="CS14" s="75">
        <f>SUM(CS11:CS13)</f>
        <v>-47.900000000000006</v>
      </c>
      <c r="CU14" s="76">
        <f>SUM(CU11:CU13)</f>
        <v>6.1000000000000014</v>
      </c>
      <c r="CV14" s="76">
        <f>SUM(CV11:CV13)</f>
        <v>17.5</v>
      </c>
      <c r="CW14" s="76">
        <f>SUM(CW11:CW13)</f>
        <v>6.3000000000000078</v>
      </c>
      <c r="CX14" s="76">
        <f>SUM(CX11:CX13)</f>
        <v>-13.099999999999996</v>
      </c>
      <c r="CY14" s="75">
        <f>SUM(CY11:CY13)</f>
        <v>16.800000000000011</v>
      </c>
      <c r="DA14" s="76">
        <f>SUM(DA11:DA13)</f>
        <v>19.199999999999996</v>
      </c>
      <c r="DB14" s="76">
        <f>SUM(DB11:DB13)</f>
        <v>20.7</v>
      </c>
      <c r="DC14" s="76">
        <f>SUM(DC11:DC13)</f>
        <v>15.799999999999997</v>
      </c>
      <c r="DD14" s="76">
        <f>SUM(DD11:DD13)</f>
        <v>13.500000000000002</v>
      </c>
      <c r="DE14" s="75">
        <f>SUM(DE11:DE13)</f>
        <v>69.19999999999996</v>
      </c>
      <c r="DG14" s="76">
        <f>SUM(DG11:DG13)</f>
        <v>34.5</v>
      </c>
      <c r="DH14" s="76"/>
      <c r="DI14" s="76"/>
      <c r="DJ14" s="76"/>
      <c r="DK14" s="75"/>
    </row>
    <row r="15" spans="1:115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>
        <v>0.2</v>
      </c>
      <c r="CQ15" s="77">
        <v>-6.9</v>
      </c>
      <c r="CR15" s="77">
        <v>-2.9</v>
      </c>
      <c r="CS15" s="78">
        <f>SUM(CO15:CR15)</f>
        <v>-16.7</v>
      </c>
      <c r="CU15" s="77">
        <v>-3.6</v>
      </c>
      <c r="CV15" s="77">
        <v>-3.5</v>
      </c>
      <c r="CW15" s="77">
        <v>-4.4000000000000004</v>
      </c>
      <c r="CX15" s="77">
        <v>-0.9</v>
      </c>
      <c r="CY15" s="78">
        <f>SUM(CU15:CX15)</f>
        <v>-12.4</v>
      </c>
      <c r="DA15" s="77">
        <v>-5.4</v>
      </c>
      <c r="DB15" s="77">
        <v>-4.4000000000000004</v>
      </c>
      <c r="DC15" s="77">
        <v>5.0999999999999996</v>
      </c>
      <c r="DD15" s="77">
        <v>13.8</v>
      </c>
      <c r="DE15" s="78">
        <f>SUM(DA15:DD15)</f>
        <v>9.1</v>
      </c>
      <c r="DG15" s="77">
        <v>4.9000000000000004</v>
      </c>
      <c r="DH15" s="77"/>
      <c r="DI15" s="77"/>
      <c r="DJ15" s="77"/>
      <c r="DK15" s="78"/>
    </row>
    <row r="16" spans="1:115" s="5" customFormat="1" ht="18.75" customHeight="1" x14ac:dyDescent="0.2">
      <c r="A16" s="1" t="s">
        <v>203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>
        <f>SUM(CP14:CP15)</f>
        <v>-15.900000000000002</v>
      </c>
      <c r="CQ16" s="76">
        <f>SUM(CQ14:CQ15)</f>
        <v>-8.8000000000000007</v>
      </c>
      <c r="CR16" s="76">
        <f>SUM(CR14:CR15)</f>
        <v>-17.599999999999998</v>
      </c>
      <c r="CS16" s="75">
        <f>SUM(CS14:CS15)</f>
        <v>-64.600000000000009</v>
      </c>
      <c r="CU16" s="76">
        <f>SUM(CU14:CU15)</f>
        <v>2.5000000000000013</v>
      </c>
      <c r="CV16" s="76">
        <f>SUM(CV14:CV15)</f>
        <v>14</v>
      </c>
      <c r="CW16" s="76">
        <f>SUM(CW14:CW15)</f>
        <v>1.9000000000000075</v>
      </c>
      <c r="CX16" s="76">
        <f>SUM(CX14:CX15)</f>
        <v>-13.999999999999996</v>
      </c>
      <c r="CY16" s="75">
        <f>SUM(CY14:CY15)</f>
        <v>4.400000000000011</v>
      </c>
      <c r="DA16" s="76">
        <f>SUM(DA14:DA15)</f>
        <v>13.799999999999995</v>
      </c>
      <c r="DB16" s="76">
        <f>SUM(DB14:DB15)</f>
        <v>16.299999999999997</v>
      </c>
      <c r="DC16" s="76">
        <f>SUM(DC14:DC15)</f>
        <v>20.9</v>
      </c>
      <c r="DD16" s="76">
        <f>SUM(DD14:DD15)</f>
        <v>27.300000000000004</v>
      </c>
      <c r="DE16" s="75">
        <f>SUM(DE14:DE15)</f>
        <v>78.299999999999955</v>
      </c>
      <c r="DG16" s="76">
        <f>SUM(DG14:DG15)</f>
        <v>39.4</v>
      </c>
      <c r="DH16" s="76"/>
      <c r="DI16" s="76"/>
      <c r="DJ16" s="76"/>
      <c r="DK16" s="75"/>
    </row>
    <row r="17" spans="1:115" s="5" customFormat="1" ht="12.75" customHeight="1" x14ac:dyDescent="0.2">
      <c r="A17" s="2" t="s">
        <v>54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48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  <c r="CU17" s="31"/>
      <c r="CV17" s="31"/>
      <c r="CW17" s="31"/>
      <c r="CX17" s="31"/>
      <c r="CY17" s="84">
        <f>SUM(CU17:CX17)</f>
        <v>0</v>
      </c>
      <c r="DA17" s="31">
        <v>3.1</v>
      </c>
      <c r="DB17" s="31">
        <v>-9.1</v>
      </c>
      <c r="DC17" s="31">
        <v>1.5</v>
      </c>
      <c r="DD17" s="31">
        <v>11.8</v>
      </c>
      <c r="DE17" s="84">
        <f>SUM(DA17:DD17)</f>
        <v>7.3000000000000007</v>
      </c>
      <c r="DG17" s="31">
        <v>-1.9</v>
      </c>
      <c r="DH17" s="31"/>
      <c r="DI17" s="31"/>
      <c r="DJ17" s="31"/>
      <c r="DK17" s="84"/>
    </row>
    <row r="18" spans="1:115" s="47" customFormat="1" x14ac:dyDescent="0.2">
      <c r="A18" s="47" t="s">
        <v>5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>
        <v>2.5</v>
      </c>
      <c r="CQ18" s="77">
        <v>-1.1000000000000001</v>
      </c>
      <c r="CR18" s="77">
        <v>-13</v>
      </c>
      <c r="CS18" s="78">
        <f>SUM(CO18:CR18)</f>
        <v>-9.9</v>
      </c>
      <c r="CU18" s="77">
        <v>-0.8</v>
      </c>
      <c r="CV18" s="77">
        <v>-2.9</v>
      </c>
      <c r="CW18" s="77">
        <v>-1.7</v>
      </c>
      <c r="CX18" s="77">
        <v>5.0999999999999996</v>
      </c>
      <c r="CY18" s="78">
        <f>SUM(CU18:CX18)</f>
        <v>-0.30000000000000071</v>
      </c>
      <c r="DA18" s="77">
        <v>-2</v>
      </c>
      <c r="DB18" s="77">
        <v>-2.1</v>
      </c>
      <c r="DC18" s="77">
        <v>-2.5</v>
      </c>
      <c r="DD18" s="77">
        <v>-16.600000000000001</v>
      </c>
      <c r="DE18" s="78">
        <f>SUM(DA18:DD18)</f>
        <v>-23.200000000000003</v>
      </c>
      <c r="DG18" s="77">
        <v>-9.9</v>
      </c>
      <c r="DH18" s="77"/>
      <c r="DI18" s="77"/>
      <c r="DJ18" s="77"/>
      <c r="DK18" s="78"/>
    </row>
    <row r="19" spans="1:115" s="48" customFormat="1" ht="18.75" customHeight="1" x14ac:dyDescent="0.2">
      <c r="A19" s="48" t="s">
        <v>6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>
        <f>SUM(CP16:CP18)</f>
        <v>-13.400000000000002</v>
      </c>
      <c r="CQ19" s="79">
        <f>SUM(CQ16:CQ18)</f>
        <v>-9.9</v>
      </c>
      <c r="CR19" s="79">
        <f>SUM(CR16:CR18)</f>
        <v>-30.599999999999998</v>
      </c>
      <c r="CS19" s="80">
        <f>SUM(CS16:CS18)</f>
        <v>-74.500000000000014</v>
      </c>
      <c r="CU19" s="79">
        <f>SUM(CU16:CU18)</f>
        <v>1.7000000000000013</v>
      </c>
      <c r="CV19" s="79">
        <f>SUM(CV16:CV18)</f>
        <v>11.1</v>
      </c>
      <c r="CW19" s="79">
        <f>SUM(CW16:CW18)</f>
        <v>0.20000000000000751</v>
      </c>
      <c r="CX19" s="79">
        <f>SUM(CX16:CX18)</f>
        <v>-8.8999999999999968</v>
      </c>
      <c r="CY19" s="80">
        <f>SUM(CY16:CY18)</f>
        <v>4.1000000000000103</v>
      </c>
      <c r="DA19" s="79">
        <f>SUM(DA16:DA18)</f>
        <v>14.899999999999995</v>
      </c>
      <c r="DB19" s="79">
        <f>SUM(DB16:DB18)</f>
        <v>5.0999999999999979</v>
      </c>
      <c r="DC19" s="79">
        <f>SUM(DC16:DC18)</f>
        <v>19.899999999999999</v>
      </c>
      <c r="DD19" s="79">
        <f>SUM(DD16:DD18)</f>
        <v>22.500000000000007</v>
      </c>
      <c r="DE19" s="80">
        <f>SUM(DE16:DE18)</f>
        <v>62.399999999999949</v>
      </c>
      <c r="DG19" s="79">
        <f>SUM(DG16:DG18)</f>
        <v>27.6</v>
      </c>
      <c r="DH19" s="79"/>
      <c r="DI19" s="79"/>
      <c r="DJ19" s="79"/>
      <c r="DK19" s="80"/>
    </row>
    <row r="20" spans="1:115" s="47" customFormat="1" ht="18.75" customHeight="1" x14ac:dyDescent="0.2">
      <c r="A20" s="47" t="s">
        <v>7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>
        <v>0</v>
      </c>
      <c r="CQ20" s="77">
        <v>0</v>
      </c>
      <c r="CR20" s="77">
        <v>0</v>
      </c>
      <c r="CS20" s="81">
        <f>SUM(CO20:CR20)</f>
        <v>0</v>
      </c>
      <c r="CU20" s="77">
        <v>0</v>
      </c>
      <c r="CV20" s="77">
        <v>0</v>
      </c>
      <c r="CW20" s="77">
        <v>0</v>
      </c>
      <c r="CX20" s="77">
        <v>0</v>
      </c>
      <c r="CY20" s="81">
        <f>SUM(CU20:CX20)</f>
        <v>0</v>
      </c>
      <c r="DA20" s="77">
        <v>0</v>
      </c>
      <c r="DB20" s="77">
        <v>0</v>
      </c>
      <c r="DC20" s="77">
        <v>0</v>
      </c>
      <c r="DD20" s="77">
        <v>0</v>
      </c>
      <c r="DE20" s="81">
        <f>SUM(DA20:DD20)</f>
        <v>0</v>
      </c>
      <c r="DG20" s="77">
        <v>0</v>
      </c>
      <c r="DH20" s="77"/>
      <c r="DI20" s="77"/>
      <c r="DJ20" s="77"/>
      <c r="DK20" s="81"/>
    </row>
    <row r="21" spans="1:115" s="48" customFormat="1" ht="18.75" customHeight="1" x14ac:dyDescent="0.2">
      <c r="A21" s="48" t="s">
        <v>8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>
        <f>SUM(CP19:CP20)</f>
        <v>-13.400000000000002</v>
      </c>
      <c r="CQ21" s="82">
        <f>SUM(CQ19:CQ20)</f>
        <v>-9.9</v>
      </c>
      <c r="CR21" s="82">
        <f>SUM(CR19:CR20)</f>
        <v>-30.599999999999998</v>
      </c>
      <c r="CS21" s="83">
        <f>SUM(CS19:CS20)</f>
        <v>-74.500000000000014</v>
      </c>
      <c r="CU21" s="82">
        <f>SUM(CU19:CU20)</f>
        <v>1.7000000000000013</v>
      </c>
      <c r="CV21" s="82">
        <f>SUM(CV19:CV20)</f>
        <v>11.1</v>
      </c>
      <c r="CW21" s="82">
        <f>SUM(CW19:CW20)</f>
        <v>0.20000000000000751</v>
      </c>
      <c r="CX21" s="82">
        <f>SUM(CX19:CX20)</f>
        <v>-8.8999999999999968</v>
      </c>
      <c r="CY21" s="83">
        <f>SUM(CY19:CY20)</f>
        <v>4.1000000000000103</v>
      </c>
      <c r="DA21" s="82">
        <f>SUM(DA19:DA20)</f>
        <v>14.899999999999995</v>
      </c>
      <c r="DB21" s="82">
        <f>SUM(DB19:DB20)</f>
        <v>5.0999999999999979</v>
      </c>
      <c r="DC21" s="82">
        <f>SUM(DC19:DC20)</f>
        <v>19.899999999999999</v>
      </c>
      <c r="DD21" s="82">
        <f>SUM(DD19:DD20)</f>
        <v>22.500000000000007</v>
      </c>
      <c r="DE21" s="83">
        <f>SUM(DE19:DE20)</f>
        <v>62.399999999999949</v>
      </c>
      <c r="DG21" s="82">
        <f>SUM(DG19:DG20)</f>
        <v>27.6</v>
      </c>
      <c r="DH21" s="82"/>
      <c r="DI21" s="82"/>
      <c r="DJ21" s="82"/>
      <c r="DK21" s="83"/>
    </row>
    <row r="22" spans="1:115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  <c r="CU22" s="31"/>
      <c r="CV22" s="31"/>
      <c r="CW22" s="31"/>
      <c r="CX22" s="31"/>
      <c r="CY22" s="75"/>
      <c r="DA22" s="31"/>
      <c r="DB22" s="31"/>
      <c r="DC22" s="31"/>
      <c r="DD22" s="31"/>
      <c r="DE22" s="75"/>
      <c r="DG22" s="31"/>
      <c r="DH22" s="31"/>
      <c r="DI22" s="31"/>
      <c r="DJ22" s="31"/>
      <c r="DK22" s="75"/>
    </row>
    <row r="23" spans="1:115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  <c r="CU23" s="31"/>
      <c r="CV23" s="31"/>
      <c r="CW23" s="31"/>
      <c r="CX23" s="31"/>
      <c r="CY23" s="75"/>
      <c r="DA23" s="31"/>
      <c r="DB23" s="31"/>
      <c r="DC23" s="31"/>
      <c r="DD23" s="31"/>
      <c r="DE23" s="75"/>
      <c r="DG23" s="31"/>
      <c r="DH23" s="31"/>
      <c r="DI23" s="31"/>
      <c r="DJ23" s="31"/>
      <c r="DK23" s="75"/>
    </row>
    <row r="24" spans="1:115" x14ac:dyDescent="0.2">
      <c r="A24" s="5" t="s">
        <v>126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2017-2023'!U23</f>
        <v>252.99999999999997</v>
      </c>
      <c r="CP24" s="31">
        <f>+'Segment Data 2017-2023'!V23</f>
        <v>291</v>
      </c>
      <c r="CQ24" s="31">
        <f>+'Segment Data 2017-2023'!W23</f>
        <v>316.7</v>
      </c>
      <c r="CR24" s="31">
        <f>+'Segment Data 2017-2023'!X23</f>
        <v>293.99999999999989</v>
      </c>
      <c r="CS24" s="84">
        <f>SUM(CO24:CR24)</f>
        <v>1154.6999999999998</v>
      </c>
      <c r="CU24" s="31">
        <f>+'Segment Data 2017-2023'!AA23</f>
        <v>311.60000000000002</v>
      </c>
      <c r="CV24" s="31">
        <f>+'Segment Data 2017-2023'!AB23</f>
        <v>361.79999999999995</v>
      </c>
      <c r="CW24" s="31">
        <f>+'Segment Data 2017-2023'!AC23</f>
        <v>351.7</v>
      </c>
      <c r="CX24" s="31">
        <f>+'Segment Data 2017-2023'!AD23</f>
        <v>316.80000000000007</v>
      </c>
      <c r="CY24" s="84">
        <f>SUM(CU24:CX24)</f>
        <v>1341.9</v>
      </c>
      <c r="DA24" s="31">
        <f>+'Segment Data 2017-2023'!AG20</f>
        <v>319.20000000000005</v>
      </c>
      <c r="DB24" s="31">
        <f>+'Segment Data 2017-2023'!AH20</f>
        <v>381.1</v>
      </c>
      <c r="DC24" s="31">
        <f>+'Segment Data 2017-2023'!AI20</f>
        <v>357.7</v>
      </c>
      <c r="DD24" s="31">
        <f>+'Segment Data 2017-2023'!AJ20</f>
        <v>388.8</v>
      </c>
      <c r="DE24" s="84">
        <f>SUM(DA24:DD24)</f>
        <v>1446.8</v>
      </c>
      <c r="DG24" s="31">
        <f>+'Segment Data 2017-2023'!AM20</f>
        <v>421.7</v>
      </c>
      <c r="DH24" s="31"/>
      <c r="DI24" s="31"/>
      <c r="DJ24" s="31"/>
      <c r="DK24" s="84"/>
    </row>
    <row r="25" spans="1:115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  <c r="CU25" s="31"/>
      <c r="CV25" s="31"/>
      <c r="CW25" s="31"/>
      <c r="CX25" s="31"/>
      <c r="CY25" s="75"/>
      <c r="DA25" s="31"/>
      <c r="DB25" s="31"/>
      <c r="DC25" s="31"/>
      <c r="DD25" s="31"/>
      <c r="DE25" s="75"/>
      <c r="DG25" s="31"/>
      <c r="DH25" s="31"/>
      <c r="DI25" s="31"/>
      <c r="DJ25" s="31"/>
      <c r="DK25" s="75"/>
    </row>
    <row r="26" spans="1:115" s="46" customFormat="1" x14ac:dyDescent="0.2">
      <c r="A26" s="43" t="s">
        <v>14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9</v>
      </c>
      <c r="V26" s="89" t="s">
        <v>10</v>
      </c>
      <c r="W26" s="89" t="s">
        <v>11</v>
      </c>
      <c r="X26" s="89" t="s">
        <v>12</v>
      </c>
      <c r="Y26" s="90"/>
      <c r="Z26" s="91"/>
      <c r="AA26" s="89" t="s">
        <v>9</v>
      </c>
      <c r="AB26" s="89" t="s">
        <v>10</v>
      </c>
      <c r="AC26" s="89" t="s">
        <v>11</v>
      </c>
      <c r="AD26" s="89" t="s">
        <v>12</v>
      </c>
      <c r="AE26" s="90"/>
      <c r="AF26" s="91"/>
      <c r="AG26" s="89" t="s">
        <v>9</v>
      </c>
      <c r="AH26" s="89" t="s">
        <v>10</v>
      </c>
      <c r="AI26" s="89" t="s">
        <v>11</v>
      </c>
      <c r="AJ26" s="89" t="s">
        <v>12</v>
      </c>
      <c r="AK26" s="90"/>
      <c r="AL26" s="91"/>
      <c r="AM26" s="89" t="s">
        <v>9</v>
      </c>
      <c r="AN26" s="89" t="s">
        <v>10</v>
      </c>
      <c r="AO26" s="89" t="s">
        <v>11</v>
      </c>
      <c r="AP26" s="89" t="s">
        <v>12</v>
      </c>
      <c r="AQ26" s="90"/>
      <c r="AR26" s="91"/>
      <c r="AS26" s="89" t="s">
        <v>9</v>
      </c>
      <c r="AT26" s="89" t="s">
        <v>10</v>
      </c>
      <c r="AU26" s="89" t="s">
        <v>11</v>
      </c>
      <c r="AV26" s="89" t="s">
        <v>12</v>
      </c>
      <c r="AW26" s="90"/>
      <c r="AX26" s="91"/>
      <c r="AY26" s="89" t="s">
        <v>9</v>
      </c>
      <c r="AZ26" s="89" t="s">
        <v>10</v>
      </c>
      <c r="BA26" s="89" t="s">
        <v>11</v>
      </c>
      <c r="BB26" s="89" t="s">
        <v>12</v>
      </c>
      <c r="BC26" s="90"/>
      <c r="BD26" s="91"/>
      <c r="BE26" s="89" t="s">
        <v>9</v>
      </c>
      <c r="BF26" s="89" t="s">
        <v>10</v>
      </c>
      <c r="BG26" s="89" t="s">
        <v>11</v>
      </c>
      <c r="BH26" s="89" t="s">
        <v>12</v>
      </c>
      <c r="BI26" s="90"/>
      <c r="BJ26" s="91"/>
      <c r="BK26" s="89" t="s">
        <v>9</v>
      </c>
      <c r="BL26" s="89" t="s">
        <v>10</v>
      </c>
      <c r="BM26" s="89" t="s">
        <v>11</v>
      </c>
      <c r="BN26" s="89" t="s">
        <v>12</v>
      </c>
      <c r="BO26" s="90"/>
      <c r="BP26" s="91"/>
      <c r="BQ26" s="89" t="s">
        <v>9</v>
      </c>
      <c r="BR26" s="89" t="s">
        <v>10</v>
      </c>
      <c r="BS26" s="89" t="s">
        <v>11</v>
      </c>
      <c r="BT26" s="89" t="s">
        <v>12</v>
      </c>
      <c r="BU26" s="90"/>
      <c r="BV26" s="91"/>
      <c r="BW26" s="89" t="s">
        <v>9</v>
      </c>
      <c r="BX26" s="89"/>
      <c r="BY26" s="89"/>
      <c r="BZ26" s="89"/>
      <c r="CA26" s="90"/>
      <c r="CC26" s="89" t="s">
        <v>9</v>
      </c>
      <c r="CD26" s="89"/>
      <c r="CE26" s="89"/>
      <c r="CF26" s="89"/>
      <c r="CG26" s="90"/>
      <c r="CI26" s="89" t="s">
        <v>9</v>
      </c>
      <c r="CJ26" s="89"/>
      <c r="CK26" s="89"/>
      <c r="CL26" s="89"/>
      <c r="CM26" s="90"/>
      <c r="CO26" s="89" t="s">
        <v>9</v>
      </c>
      <c r="CP26" s="89"/>
      <c r="CQ26" s="89"/>
      <c r="CR26" s="89"/>
      <c r="CS26" s="90"/>
      <c r="CU26" s="89" t="s">
        <v>9</v>
      </c>
      <c r="CV26" s="89"/>
      <c r="CW26" s="89"/>
      <c r="CX26" s="89"/>
      <c r="CY26" s="90"/>
      <c r="DA26" s="89" t="s">
        <v>9</v>
      </c>
      <c r="DB26" s="89"/>
      <c r="DC26" s="89"/>
      <c r="DD26" s="89"/>
      <c r="DE26" s="90"/>
      <c r="DG26" s="89" t="s">
        <v>9</v>
      </c>
      <c r="DH26" s="89"/>
      <c r="DI26" s="89"/>
      <c r="DJ26" s="89"/>
      <c r="DK26" s="90"/>
    </row>
    <row r="27" spans="1:115" x14ac:dyDescent="0.2">
      <c r="A27" s="2" t="s">
        <v>90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>
        <v>86.6</v>
      </c>
      <c r="CQ27" s="31">
        <v>86.6</v>
      </c>
      <c r="CR27" s="31">
        <v>115.4</v>
      </c>
      <c r="CS27" s="75"/>
      <c r="CU27" s="31">
        <v>115.4</v>
      </c>
      <c r="CV27" s="31">
        <v>115.4</v>
      </c>
      <c r="CW27" s="31">
        <v>115.4</v>
      </c>
      <c r="CX27" s="31">
        <v>115.4</v>
      </c>
      <c r="CY27" s="75"/>
      <c r="DA27" s="31">
        <v>115.4</v>
      </c>
      <c r="DB27" s="31">
        <v>115.4</v>
      </c>
      <c r="DC27" s="31">
        <v>115.4</v>
      </c>
      <c r="DD27" s="31">
        <v>115.4</v>
      </c>
      <c r="DE27" s="75"/>
      <c r="DG27" s="31">
        <v>115.4</v>
      </c>
      <c r="DH27" s="31"/>
      <c r="DI27" s="31"/>
      <c r="DJ27" s="31"/>
      <c r="DK27" s="75"/>
    </row>
    <row r="28" spans="1:115" x14ac:dyDescent="0.2">
      <c r="A28" s="2" t="s">
        <v>91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>
        <v>705.8</v>
      </c>
      <c r="CQ28" s="85">
        <v>703</v>
      </c>
      <c r="CR28" s="85">
        <v>924</v>
      </c>
      <c r="CS28" s="75"/>
      <c r="CU28" s="31">
        <v>954.8</v>
      </c>
      <c r="CV28" s="31">
        <v>1005.6</v>
      </c>
      <c r="CW28" s="31">
        <v>979</v>
      </c>
      <c r="CX28" s="31">
        <v>1007.5</v>
      </c>
      <c r="CY28" s="75"/>
      <c r="DA28" s="31">
        <v>1061.5999999999999</v>
      </c>
      <c r="DB28" s="31">
        <v>944.8</v>
      </c>
      <c r="DC28" s="31">
        <v>931.3</v>
      </c>
      <c r="DD28" s="31">
        <v>990.2</v>
      </c>
      <c r="DE28" s="75"/>
      <c r="DG28" s="31">
        <v>1013.9</v>
      </c>
      <c r="DH28" s="31"/>
      <c r="DI28" s="31"/>
      <c r="DJ28" s="31"/>
      <c r="DK28" s="75"/>
    </row>
    <row r="29" spans="1:115" x14ac:dyDescent="0.2">
      <c r="A29" s="2" t="s">
        <v>175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>
        <v>156.4</v>
      </c>
      <c r="CQ29" s="85">
        <v>150.30000000000001</v>
      </c>
      <c r="CR29" s="85">
        <v>152.4</v>
      </c>
      <c r="CS29" s="75"/>
      <c r="CU29" s="31">
        <v>154.4</v>
      </c>
      <c r="CV29" s="31">
        <v>156.4</v>
      </c>
      <c r="CW29" s="31">
        <v>150.30000000000001</v>
      </c>
      <c r="CX29" s="31">
        <v>152.4</v>
      </c>
      <c r="CY29" s="75"/>
      <c r="DA29" s="31">
        <v>154.4</v>
      </c>
      <c r="DB29" s="31">
        <v>156.4</v>
      </c>
      <c r="DC29" s="31">
        <v>150.9</v>
      </c>
      <c r="DD29" s="31">
        <v>153.6</v>
      </c>
      <c r="DE29" s="75"/>
      <c r="DG29" s="31">
        <v>156.30000000000001</v>
      </c>
      <c r="DH29" s="31"/>
      <c r="DI29" s="31"/>
      <c r="DJ29" s="31"/>
      <c r="DK29" s="75"/>
    </row>
    <row r="30" spans="1:115" x14ac:dyDescent="0.2">
      <c r="A30" s="2" t="s">
        <v>23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31">
        <f>+'Balance Sheet'!CA18</f>
        <v>1901.8</v>
      </c>
      <c r="CQ30" s="31">
        <f>+'Balance Sheet'!CB18</f>
        <v>2019.1</v>
      </c>
      <c r="CR30" s="31">
        <f>+'Balance Sheet'!CC18</f>
        <v>2150.6</v>
      </c>
      <c r="CS30" s="75"/>
      <c r="CU30" s="31">
        <v>2245.5</v>
      </c>
      <c r="CV30" s="31">
        <v>2405</v>
      </c>
      <c r="CW30" s="31">
        <v>2397.1</v>
      </c>
      <c r="CX30" s="31">
        <v>2553.4</v>
      </c>
      <c r="CY30" s="75"/>
      <c r="DA30" s="31">
        <v>2677.4</v>
      </c>
      <c r="DB30" s="31">
        <v>2628.1</v>
      </c>
      <c r="DC30" s="31">
        <v>2597.3000000000002</v>
      </c>
      <c r="DD30" s="31">
        <v>2767.4</v>
      </c>
      <c r="DE30" s="75"/>
      <c r="DG30" s="31">
        <f>+'Balance Sheet'!CO18</f>
        <v>2766.5</v>
      </c>
      <c r="DH30" s="31"/>
      <c r="DI30" s="31"/>
      <c r="DJ30" s="31"/>
      <c r="DK30" s="75"/>
    </row>
    <row r="31" spans="1:115" x14ac:dyDescent="0.2">
      <c r="A31" s="2" t="s">
        <v>204</v>
      </c>
      <c r="C31" s="85">
        <v>45.2348993288591</v>
      </c>
      <c r="D31" s="85">
        <v>75.033557046979894</v>
      </c>
      <c r="E31" s="85">
        <v>115.167785234899</v>
      </c>
      <c r="F31" s="85">
        <v>102.55033557047</v>
      </c>
      <c r="G31" s="75"/>
      <c r="H31" s="31"/>
      <c r="I31" s="85">
        <v>157.85234899328901</v>
      </c>
      <c r="J31" s="85">
        <v>163.89261744966399</v>
      </c>
      <c r="K31" s="85">
        <v>156.77852348993301</v>
      </c>
      <c r="L31" s="85">
        <v>137.315436241611</v>
      </c>
      <c r="M31" s="75"/>
      <c r="N31" s="31"/>
      <c r="O31" s="85">
        <v>266.71140939597302</v>
      </c>
      <c r="P31" s="85">
        <v>311.275167785235</v>
      </c>
      <c r="Q31" s="85">
        <v>309.530201342282</v>
      </c>
      <c r="R31" s="85">
        <v>267.785234899329</v>
      </c>
      <c r="S31" s="75"/>
      <c r="T31" s="31"/>
      <c r="U31" s="85">
        <v>297.315436241611</v>
      </c>
      <c r="V31" s="85">
        <v>379.194630872483</v>
      </c>
      <c r="W31" s="85">
        <v>378.65771812080499</v>
      </c>
      <c r="X31" s="85">
        <v>303.35570469798699</v>
      </c>
      <c r="Y31" s="75"/>
      <c r="Z31" s="31"/>
      <c r="AA31" s="85">
        <v>306.48322147650998</v>
      </c>
      <c r="AB31" s="85">
        <v>347.24832214765098</v>
      </c>
      <c r="AC31" s="85">
        <v>359.86577181208099</v>
      </c>
      <c r="AD31" s="85">
        <v>365.77181208053702</v>
      </c>
      <c r="AE31" s="75"/>
      <c r="AF31" s="31"/>
      <c r="AG31" s="85">
        <v>455.570469798658</v>
      </c>
      <c r="AH31" s="85">
        <v>508.724832214765</v>
      </c>
      <c r="AI31" s="85">
        <v>556.24161073825496</v>
      </c>
      <c r="AJ31" s="85">
        <v>551.00671140939596</v>
      </c>
      <c r="AK31" s="75"/>
      <c r="AL31" s="31"/>
      <c r="AM31" s="85">
        <v>647.11409395973203</v>
      </c>
      <c r="AN31" s="85">
        <v>663.08724832214796</v>
      </c>
      <c r="AO31" s="85">
        <v>640.40268456375804</v>
      </c>
      <c r="AP31" s="85">
        <f>(4429)/7.45</f>
        <v>594.49664429530196</v>
      </c>
      <c r="AQ31" s="75"/>
      <c r="AR31" s="31"/>
      <c r="AS31" s="85">
        <v>602.81879194630903</v>
      </c>
      <c r="AT31" s="85">
        <v>361.34228187919501</v>
      </c>
      <c r="AU31" s="85">
        <v>369.26174496644302</v>
      </c>
      <c r="AV31" s="85">
        <v>256.24161073825502</v>
      </c>
      <c r="AW31" s="75"/>
      <c r="AX31" s="31"/>
      <c r="AY31" s="85">
        <v>372.61744966443001</v>
      </c>
      <c r="AZ31" s="85">
        <v>381.07382550335598</v>
      </c>
      <c r="BA31" s="85">
        <v>369.530201342282</v>
      </c>
      <c r="BB31" s="85">
        <v>283.35570469798699</v>
      </c>
      <c r="BC31" s="75"/>
      <c r="BD31" s="31"/>
      <c r="BE31" s="85">
        <v>268.32214765100701</v>
      </c>
      <c r="BF31" s="85">
        <v>269.530201342282</v>
      </c>
      <c r="BG31" s="85">
        <v>284.429530201342</v>
      </c>
      <c r="BH31" s="85">
        <v>152.348993288591</v>
      </c>
      <c r="BI31" s="75"/>
      <c r="BJ31" s="31"/>
      <c r="BK31" s="85">
        <v>177.44966442953</v>
      </c>
      <c r="BL31" s="85">
        <v>193.020134228188</v>
      </c>
      <c r="BM31" s="85">
        <v>167.51677852348999</v>
      </c>
      <c r="BN31" s="85">
        <v>88.9</v>
      </c>
      <c r="BO31" s="75"/>
      <c r="BP31" s="31"/>
      <c r="BQ31" s="85">
        <v>158.9</v>
      </c>
      <c r="BR31" s="85">
        <v>188.2</v>
      </c>
      <c r="BS31" s="85">
        <v>174.6</v>
      </c>
      <c r="BT31" s="31">
        <v>-68.400000000000006</v>
      </c>
      <c r="BU31" s="75"/>
      <c r="BV31" s="31"/>
      <c r="BW31" s="31">
        <v>616.79999999999995</v>
      </c>
      <c r="BX31" s="31">
        <v>742.3</v>
      </c>
      <c r="BY31" s="31">
        <v>720.1</v>
      </c>
      <c r="BZ31" s="31">
        <v>293.2</v>
      </c>
      <c r="CA31" s="75"/>
      <c r="CB31" s="199"/>
      <c r="CC31" s="31">
        <v>432.7</v>
      </c>
      <c r="CD31" s="31">
        <v>409.5</v>
      </c>
      <c r="CE31" s="31">
        <v>307.5</v>
      </c>
      <c r="CF31" s="31">
        <v>248.3</v>
      </c>
      <c r="CG31" s="75"/>
      <c r="CH31" s="199"/>
      <c r="CI31" s="31">
        <v>339</v>
      </c>
      <c r="CJ31" s="31">
        <v>336.1</v>
      </c>
      <c r="CK31" s="31">
        <v>349.9</v>
      </c>
      <c r="CL31" s="31">
        <v>242.2</v>
      </c>
      <c r="CM31" s="75"/>
      <c r="CO31" s="31">
        <v>378.1</v>
      </c>
      <c r="CP31" s="31">
        <v>323.8</v>
      </c>
      <c r="CQ31" s="31">
        <v>194.2</v>
      </c>
      <c r="CR31" s="31">
        <v>-25.9</v>
      </c>
      <c r="CS31" s="75"/>
      <c r="CU31" s="31">
        <v>30.5</v>
      </c>
      <c r="CV31" s="31">
        <v>186.1</v>
      </c>
      <c r="CW31" s="31">
        <v>96.7</v>
      </c>
      <c r="CX31" s="31">
        <v>13.2</v>
      </c>
      <c r="CY31" s="75"/>
      <c r="DA31" s="31">
        <v>109.4</v>
      </c>
      <c r="DB31" s="31">
        <v>23.5</v>
      </c>
      <c r="DC31" s="31">
        <v>79.8</v>
      </c>
      <c r="DD31" s="31">
        <v>-54.8</v>
      </c>
      <c r="DE31" s="75"/>
      <c r="DG31" s="31">
        <v>50.1</v>
      </c>
      <c r="DH31" s="31"/>
      <c r="DI31" s="31"/>
      <c r="DJ31" s="31"/>
      <c r="DK31" s="75"/>
    </row>
    <row r="32" spans="1:115" x14ac:dyDescent="0.2">
      <c r="A32" s="2" t="s">
        <v>30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2017-2023'!U91</f>
        <v>1102</v>
      </c>
      <c r="CP32" s="31">
        <f>+'Segment Data 2017-2023'!V91</f>
        <v>1186</v>
      </c>
      <c r="CQ32" s="31">
        <v>1047.5</v>
      </c>
      <c r="CR32" s="31">
        <v>1050.5</v>
      </c>
      <c r="CS32" s="75"/>
      <c r="CU32" s="31">
        <v>1139.7</v>
      </c>
      <c r="CV32" s="31">
        <f>+'Segment Data 2017-2023'!AB91</f>
        <v>1348.1000000000001</v>
      </c>
      <c r="CW32" s="31">
        <f>+'Segment Data 2017-2023'!AC91</f>
        <v>1226</v>
      </c>
      <c r="CX32" s="31">
        <f>+'Segment Data 2017-2023'!AD91</f>
        <v>1173.0999999999999</v>
      </c>
      <c r="CY32" s="75"/>
      <c r="DA32" s="31">
        <v>1325.4</v>
      </c>
      <c r="DB32" s="31">
        <v>1124.7</v>
      </c>
      <c r="DC32" s="31">
        <v>1162</v>
      </c>
      <c r="DD32" s="31">
        <v>951.1</v>
      </c>
      <c r="DE32" s="75"/>
      <c r="DG32" s="31">
        <v>1220.4000000000001</v>
      </c>
      <c r="DH32" s="31"/>
      <c r="DI32" s="31"/>
      <c r="DJ32" s="31"/>
      <c r="DK32" s="75"/>
    </row>
    <row r="33" spans="1:115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  <c r="CU33" s="31"/>
      <c r="CV33" s="31"/>
      <c r="CW33" s="31"/>
      <c r="CX33" s="31"/>
      <c r="CY33" s="75"/>
      <c r="DA33" s="31"/>
      <c r="DB33" s="31"/>
      <c r="DC33" s="31"/>
      <c r="DD33" s="31"/>
      <c r="DE33" s="75"/>
      <c r="DG33" s="31"/>
      <c r="DH33" s="31"/>
      <c r="DI33" s="31"/>
      <c r="DJ33" s="31"/>
      <c r="DK33" s="75"/>
    </row>
    <row r="34" spans="1:115" s="45" customFormat="1" x14ac:dyDescent="0.2">
      <c r="A34" s="43" t="s">
        <v>42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  <c r="CU34" s="89"/>
      <c r="CV34" s="89"/>
      <c r="CW34" s="89"/>
      <c r="CX34" s="89"/>
      <c r="CY34" s="90"/>
      <c r="DA34" s="89"/>
      <c r="DB34" s="89"/>
      <c r="DC34" s="89"/>
      <c r="DD34" s="89"/>
      <c r="DE34" s="90"/>
      <c r="DG34" s="89"/>
      <c r="DH34" s="89"/>
      <c r="DI34" s="89"/>
      <c r="DJ34" s="89"/>
      <c r="DK34" s="90"/>
    </row>
    <row r="35" spans="1:115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  <c r="CU35" s="31"/>
      <c r="CV35" s="31"/>
      <c r="CW35" s="31"/>
      <c r="CX35" s="31"/>
      <c r="CY35" s="75"/>
      <c r="DA35" s="31"/>
      <c r="DB35" s="31"/>
      <c r="DC35" s="31"/>
      <c r="DD35" s="31"/>
      <c r="DE35" s="75"/>
      <c r="DG35" s="31"/>
      <c r="DH35" s="31"/>
      <c r="DI35" s="31"/>
      <c r="DJ35" s="31"/>
      <c r="DK35" s="75"/>
    </row>
    <row r="36" spans="1:115" x14ac:dyDescent="0.2">
      <c r="A36" s="2" t="s">
        <v>55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>
        <f>+Cashflow!CP11</f>
        <v>-11.799999999999997</v>
      </c>
      <c r="CQ36" s="85">
        <f>+Cashflow!CQ11</f>
        <v>158.70000000000002</v>
      </c>
      <c r="CR36" s="85">
        <f>+Cashflow!CR11</f>
        <v>110.9</v>
      </c>
      <c r="CS36" s="75">
        <f>SUM(CO36:CR36)</f>
        <v>136.30000000000004</v>
      </c>
      <c r="CU36" s="85">
        <v>-22.3</v>
      </c>
      <c r="CV36" s="85">
        <f>+Cashflow!CV11</f>
        <v>-99.6</v>
      </c>
      <c r="CW36" s="85">
        <f>+Cashflow!CW11</f>
        <v>145.80000000000001</v>
      </c>
      <c r="CX36" s="85">
        <f>+Cashflow!CX11</f>
        <v>183.9</v>
      </c>
      <c r="CY36" s="75">
        <f>SUM(CU36:CX36)</f>
        <v>207.8</v>
      </c>
      <c r="DA36" s="85">
        <f>+Cashflow!DA11</f>
        <v>-40.900000000000006</v>
      </c>
      <c r="DB36" s="85">
        <f>+Cashflow!DB11</f>
        <v>137</v>
      </c>
      <c r="DC36" s="85">
        <f>+Cashflow!DC11</f>
        <v>-0.39999999999999858</v>
      </c>
      <c r="DD36" s="85">
        <v>202.5</v>
      </c>
      <c r="DE36" s="75">
        <f>SUM(DA36:DD36)</f>
        <v>298.2</v>
      </c>
      <c r="DG36" s="85">
        <f>+Cashflow!DG11</f>
        <v>-66.600000000000009</v>
      </c>
      <c r="DH36" s="85"/>
      <c r="DI36" s="85"/>
      <c r="DJ36" s="85"/>
      <c r="DK36" s="75"/>
    </row>
    <row r="37" spans="1:115" x14ac:dyDescent="0.2">
      <c r="A37" s="2" t="s">
        <v>56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>
        <f>+Cashflow!CP15</f>
        <v>-9.4</v>
      </c>
      <c r="CQ37" s="85">
        <f>+Cashflow!CQ15</f>
        <v>-9.1</v>
      </c>
      <c r="CR37" s="85">
        <f>+Cashflow!CR15</f>
        <v>-41.1</v>
      </c>
      <c r="CS37" s="75">
        <f>SUM(CO37:CR37)</f>
        <v>-65.099999999999994</v>
      </c>
      <c r="CU37" s="85">
        <v>-22.9</v>
      </c>
      <c r="CV37" s="85">
        <f>+Cashflow!CV15</f>
        <v>-47.7</v>
      </c>
      <c r="CW37" s="85">
        <f>+Cashflow!CW15</f>
        <v>-38.1</v>
      </c>
      <c r="CX37" s="85">
        <f>+Cashflow!CX15</f>
        <v>-82.4</v>
      </c>
      <c r="CY37" s="75">
        <f>SUM(CU37:CX37)</f>
        <v>-191.1</v>
      </c>
      <c r="DA37" s="85">
        <f>+Cashflow!DA15</f>
        <v>-31.1</v>
      </c>
      <c r="DB37" s="85">
        <f>+Cashflow!DB15</f>
        <v>-42.1</v>
      </c>
      <c r="DC37" s="85">
        <f>+Cashflow!DC15</f>
        <v>-33.1</v>
      </c>
      <c r="DD37" s="85">
        <v>-47.8</v>
      </c>
      <c r="DE37" s="75">
        <f>SUM(DA37:DD37)</f>
        <v>-154.10000000000002</v>
      </c>
      <c r="DG37" s="85">
        <f>+Cashflow!DG15</f>
        <v>-23</v>
      </c>
      <c r="DH37" s="85"/>
      <c r="DI37" s="85"/>
      <c r="DJ37" s="85"/>
      <c r="DK37" s="75"/>
    </row>
    <row r="38" spans="1:115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  <c r="CY38" s="36"/>
      <c r="DE38" s="36"/>
      <c r="DK38" s="36"/>
    </row>
    <row r="39" spans="1:115" s="45" customFormat="1" x14ac:dyDescent="0.2">
      <c r="A39" s="43" t="s">
        <v>15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  <c r="CU39" s="51"/>
      <c r="CV39" s="51"/>
      <c r="CW39" s="51"/>
      <c r="CX39" s="51"/>
      <c r="CY39" s="52"/>
      <c r="DA39" s="51"/>
      <c r="DB39" s="51"/>
      <c r="DC39" s="51"/>
      <c r="DD39" s="51"/>
      <c r="DE39" s="52"/>
      <c r="DG39" s="51"/>
      <c r="DH39" s="51"/>
      <c r="DI39" s="51"/>
      <c r="DJ39" s="51"/>
      <c r="DK39" s="52"/>
    </row>
    <row r="40" spans="1:115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  <c r="CY40" s="36"/>
      <c r="DE40" s="36"/>
      <c r="DK40" s="36"/>
    </row>
    <row r="41" spans="1:115" ht="12.75" customHeight="1" x14ac:dyDescent="0.2">
      <c r="A41" s="2" t="s">
        <v>16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48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48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48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>
        <f>+(CP28+CP29)/CP30</f>
        <v>0.45335997476075296</v>
      </c>
      <c r="CQ41" s="10">
        <f>+(CQ28+CQ29)/CQ30</f>
        <v>0.42261403595661434</v>
      </c>
      <c r="CR41" s="10">
        <f>+(CR28+CR29)/CR30</f>
        <v>0.50051148516693023</v>
      </c>
      <c r="CS41" s="41"/>
      <c r="CU41" s="10">
        <f>+(CU28+CU29)/CU30</f>
        <v>0.49396570919617011</v>
      </c>
      <c r="CV41" s="10">
        <f>+(CV28+CV29)/CV30</f>
        <v>0.48316008316008319</v>
      </c>
      <c r="CW41" s="10">
        <f>+(CW28+CW29)/CW30</f>
        <v>0.47111092570188978</v>
      </c>
      <c r="CX41" s="10">
        <f>+(CX28+CX29)/CX30</f>
        <v>0.45425706900603119</v>
      </c>
      <c r="CY41" s="41"/>
      <c r="DA41" s="10">
        <f>+(DA28+DA29)/DA30</f>
        <v>0.45417195786957493</v>
      </c>
      <c r="DB41" s="10">
        <f>+(DB28+DB29)/DB30</f>
        <v>0.41900993112895252</v>
      </c>
      <c r="DC41" s="10">
        <f>+(DC28+DC29)/DC30</f>
        <v>0.41666345820659917</v>
      </c>
      <c r="DD41" s="10">
        <f>+(DD28+DD29)/DD30</f>
        <v>0.41331213413312129</v>
      </c>
      <c r="DE41" s="41"/>
      <c r="DG41" s="10">
        <f>+(DG28+DG29)/DG30</f>
        <v>0.42298933670703054</v>
      </c>
      <c r="DH41" s="10"/>
      <c r="DI41" s="10"/>
      <c r="DJ41" s="10"/>
      <c r="DK41" s="41"/>
    </row>
    <row r="42" spans="1:115" ht="12.75" customHeight="1" x14ac:dyDescent="0.2">
      <c r="A42" s="2" t="s">
        <v>101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>
        <v>32232</v>
      </c>
      <c r="CQ42" s="13">
        <v>32232</v>
      </c>
      <c r="CR42" s="13">
        <v>42976</v>
      </c>
      <c r="CS42" s="36"/>
      <c r="CU42" s="13">
        <v>42976</v>
      </c>
      <c r="CV42" s="13">
        <v>42976</v>
      </c>
      <c r="CW42" s="13">
        <v>42976</v>
      </c>
      <c r="CX42" s="13">
        <v>42976</v>
      </c>
      <c r="CY42" s="36"/>
      <c r="DA42" s="13">
        <v>42976</v>
      </c>
      <c r="DB42" s="13">
        <v>42976</v>
      </c>
      <c r="DC42" s="13">
        <v>42976</v>
      </c>
      <c r="DD42" s="13">
        <v>42976</v>
      </c>
      <c r="DE42" s="36"/>
      <c r="DG42" s="13">
        <v>42976</v>
      </c>
      <c r="DH42" s="13"/>
      <c r="DI42" s="13"/>
      <c r="DJ42" s="13"/>
      <c r="DK42" s="36"/>
    </row>
    <row r="43" spans="1:115" ht="12.75" customHeight="1" x14ac:dyDescent="0.2">
      <c r="A43" s="2" t="s">
        <v>136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>
        <v>0</v>
      </c>
      <c r="CQ43" s="13">
        <v>0</v>
      </c>
      <c r="CR43" s="13">
        <v>0</v>
      </c>
      <c r="CS43" s="36"/>
      <c r="CU43" s="13">
        <v>0</v>
      </c>
      <c r="CV43" s="13">
        <v>0</v>
      </c>
      <c r="CW43" s="13">
        <v>0</v>
      </c>
      <c r="CX43" s="13">
        <v>0</v>
      </c>
      <c r="CY43" s="36"/>
      <c r="DA43" s="13">
        <v>75</v>
      </c>
      <c r="DB43" s="13">
        <v>75</v>
      </c>
      <c r="DC43" s="13">
        <v>75</v>
      </c>
      <c r="DD43" s="13">
        <v>75</v>
      </c>
      <c r="DE43" s="36"/>
      <c r="DG43" s="13">
        <v>75</v>
      </c>
      <c r="DH43" s="13"/>
      <c r="DI43" s="13"/>
      <c r="DJ43" s="13"/>
      <c r="DK43" s="36"/>
    </row>
    <row r="44" spans="1:115" ht="12.75" customHeight="1" x14ac:dyDescent="0.2">
      <c r="A44" s="2" t="s">
        <v>104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>
        <v>-0.5</v>
      </c>
      <c r="CQ44" s="16">
        <v>-0.4</v>
      </c>
      <c r="CR44" s="16">
        <v>-1</v>
      </c>
      <c r="CS44" s="39">
        <v>-2.7</v>
      </c>
      <c r="CU44" s="280" t="s">
        <v>202</v>
      </c>
      <c r="CV44" s="16">
        <v>0.3</v>
      </c>
      <c r="CW44" s="16">
        <v>0.1</v>
      </c>
      <c r="CX44" s="16">
        <v>-0.3</v>
      </c>
      <c r="CY44" s="39">
        <v>-0.1</v>
      </c>
      <c r="DA44" s="280">
        <v>0.3</v>
      </c>
      <c r="DB44" s="16">
        <v>0.1</v>
      </c>
      <c r="DC44" s="16">
        <v>0.4</v>
      </c>
      <c r="DD44" s="16">
        <v>0.2</v>
      </c>
      <c r="DE44" s="39">
        <v>1.1000000000000001</v>
      </c>
      <c r="DG44" s="280">
        <v>0.6</v>
      </c>
      <c r="DH44" s="16"/>
      <c r="DI44" s="16"/>
      <c r="DJ44" s="16"/>
      <c r="DK44" s="39"/>
    </row>
    <row r="45" spans="1:115" ht="12.75" customHeight="1" x14ac:dyDescent="0.2">
      <c r="A45" s="2" t="s">
        <v>129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>
        <v>0</v>
      </c>
      <c r="CQ45" s="16">
        <v>0</v>
      </c>
      <c r="CR45" s="17">
        <v>0</v>
      </c>
      <c r="CS45" s="39">
        <f>SUM(CO45:CR45)</f>
        <v>0</v>
      </c>
      <c r="CU45" s="16">
        <v>0</v>
      </c>
      <c r="CV45" s="16">
        <v>0</v>
      </c>
      <c r="CW45" s="16">
        <v>0</v>
      </c>
      <c r="CX45" s="16">
        <v>0</v>
      </c>
      <c r="CY45" s="39">
        <f>SUM(CU45:CX45)</f>
        <v>0</v>
      </c>
      <c r="DA45" s="16">
        <v>0</v>
      </c>
      <c r="DB45" s="16">
        <v>0</v>
      </c>
      <c r="DC45" s="16">
        <v>0</v>
      </c>
      <c r="DD45" s="16">
        <v>0</v>
      </c>
      <c r="DE45" s="39">
        <v>0</v>
      </c>
      <c r="DG45" s="16">
        <v>0</v>
      </c>
      <c r="DH45" s="16"/>
      <c r="DI45" s="16"/>
      <c r="DJ45" s="16"/>
      <c r="DK45" s="39"/>
    </row>
    <row r="46" spans="1:115" ht="12.75" customHeight="1" x14ac:dyDescent="0.2">
      <c r="A46" s="2" t="s">
        <v>128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68">
        <f>+CO28*1000/CO42</f>
        <v>20.875334481873832</v>
      </c>
      <c r="CP46" s="268">
        <f>+CP28*1000/CP42</f>
        <v>21.897493174484985</v>
      </c>
      <c r="CQ46" s="18">
        <v>21</v>
      </c>
      <c r="CR46" s="18">
        <v>22</v>
      </c>
      <c r="CS46" s="36"/>
      <c r="CU46" s="268">
        <f>+CU28*1000/CU42</f>
        <v>22.21705137751303</v>
      </c>
      <c r="CV46" s="268">
        <f t="shared" ref="CV46:CX46" si="0">+CV28*1000/CV42</f>
        <v>23.399106478034252</v>
      </c>
      <c r="CW46" s="268">
        <f t="shared" si="0"/>
        <v>22.780156366344006</v>
      </c>
      <c r="CX46" s="268">
        <f t="shared" si="0"/>
        <v>23.443317200297841</v>
      </c>
      <c r="CY46" s="36"/>
      <c r="DA46" s="268">
        <f>+DA28*1000/DA42</f>
        <v>24.702159344750559</v>
      </c>
      <c r="DB46" s="268">
        <f>+DB28*1000/DB42</f>
        <v>21.984363365599403</v>
      </c>
      <c r="DC46" s="268">
        <f>+DC28*1000/DC42</f>
        <v>21.67023454951601</v>
      </c>
      <c r="DD46" s="268">
        <f>+DD28*1000/DD42</f>
        <v>23.040766939687266</v>
      </c>
      <c r="DE46" s="36"/>
      <c r="DG46" s="268">
        <f>+DG28*1000/DG42</f>
        <v>23.59223752792256</v>
      </c>
      <c r="DH46" s="268"/>
      <c r="DI46" s="268"/>
      <c r="DJ46" s="268"/>
      <c r="DK46" s="36"/>
    </row>
    <row r="47" spans="1:115" s="164" customFormat="1" ht="12.75" customHeight="1" x14ac:dyDescent="0.2">
      <c r="A47" s="164" t="s">
        <v>127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>
        <v>148</v>
      </c>
      <c r="CQ47" s="194">
        <v>190</v>
      </c>
      <c r="CR47" s="194">
        <v>271</v>
      </c>
      <c r="CS47" s="190"/>
      <c r="CU47" s="192">
        <v>275.8</v>
      </c>
      <c r="CV47" s="192">
        <v>288</v>
      </c>
      <c r="CW47" s="192">
        <v>279</v>
      </c>
      <c r="CX47" s="192">
        <v>315.60000000000002</v>
      </c>
      <c r="CY47" s="190"/>
      <c r="DA47" s="192">
        <v>306</v>
      </c>
      <c r="DB47" s="192">
        <v>302</v>
      </c>
      <c r="DC47" s="192">
        <v>360.8</v>
      </c>
      <c r="DD47" s="192">
        <v>391</v>
      </c>
      <c r="DE47" s="190"/>
      <c r="DG47" s="192">
        <v>357</v>
      </c>
      <c r="DH47" s="192"/>
      <c r="DI47" s="192"/>
      <c r="DJ47" s="192"/>
      <c r="DK47" s="190"/>
    </row>
    <row r="48" spans="1:115" ht="11.1" customHeight="1" x14ac:dyDescent="0.2">
      <c r="A48" s="149" t="s">
        <v>133</v>
      </c>
      <c r="AC48" s="20"/>
      <c r="AD48" s="20"/>
      <c r="AG48" s="20"/>
      <c r="AH48" s="20"/>
      <c r="BP48" s="147"/>
      <c r="BQ48" s="147" t="s">
        <v>160</v>
      </c>
      <c r="CF48" s="235"/>
      <c r="CG48" s="235"/>
      <c r="CL48" s="235"/>
      <c r="CM48" s="235"/>
    </row>
    <row r="49" spans="1:69" ht="11.1" customHeight="1" x14ac:dyDescent="0.2">
      <c r="A49" s="149" t="s">
        <v>134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161</v>
      </c>
    </row>
    <row r="50" spans="1:69" ht="11.1" customHeight="1" x14ac:dyDescent="0.2">
      <c r="A50" s="149" t="s">
        <v>132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6">
    <mergeCell ref="DG1:DK1"/>
    <mergeCell ref="DG2:DK2"/>
    <mergeCell ref="BQ1:BU1"/>
    <mergeCell ref="BQ2:BU2"/>
    <mergeCell ref="CC1:CG1"/>
    <mergeCell ref="CC2:CG2"/>
    <mergeCell ref="BE1:BI1"/>
    <mergeCell ref="BE2:BI2"/>
    <mergeCell ref="U2:Y2"/>
    <mergeCell ref="AA2:AE2"/>
    <mergeCell ref="U1:Y1"/>
    <mergeCell ref="AM1:AQ1"/>
    <mergeCell ref="AM2:AQ2"/>
    <mergeCell ref="AA1:AE1"/>
    <mergeCell ref="AG1:AK1"/>
    <mergeCell ref="AG2:AK2"/>
    <mergeCell ref="C2:G2"/>
    <mergeCell ref="C1:G1"/>
    <mergeCell ref="O2:S2"/>
    <mergeCell ref="I1:M1"/>
    <mergeCell ref="I2:M2"/>
    <mergeCell ref="O1:S1"/>
    <mergeCell ref="DA2:DE2"/>
    <mergeCell ref="CU2:CY2"/>
    <mergeCell ref="BW2:CA2"/>
    <mergeCell ref="BW1:CA1"/>
    <mergeCell ref="DA1:DE1"/>
    <mergeCell ref="CO2:CS2"/>
    <mergeCell ref="CI1:CM1"/>
    <mergeCell ref="CI2:CM2"/>
    <mergeCell ref="AS1:AW1"/>
    <mergeCell ref="AS2:AW2"/>
    <mergeCell ref="BK1:BO1"/>
    <mergeCell ref="BK2:BO2"/>
    <mergeCell ref="AY1:BC1"/>
    <mergeCell ref="AY2:BC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52"/>
  <sheetViews>
    <sheetView showGridLines="0" zoomScaleNormal="100" zoomScaleSheetLayoutView="85" workbookViewId="0">
      <pane xSplit="1" ySplit="3" topLeftCell="CG4" activePane="bottomRight" state="frozen"/>
      <selection activeCell="O4" sqref="O4"/>
      <selection pane="topRight" activeCell="O4" sqref="O4"/>
      <selection pane="bottomLeft" activeCell="O4" sqref="O4"/>
      <selection pane="bottomRight" activeCell="CP47" sqref="CP47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3.7109375" style="15" customWidth="1"/>
    <col min="78" max="81" width="8.7109375" style="15" customWidth="1"/>
    <col min="82" max="82" width="3.7109375" style="15" customWidth="1"/>
    <col min="83" max="86" width="9.140625" style="15"/>
    <col min="87" max="87" width="3.7109375" style="15" customWidth="1"/>
    <col min="88" max="91" width="9.140625" style="15"/>
    <col min="92" max="92" width="3.7109375" style="15" customWidth="1"/>
    <col min="93" max="16384" width="9.140625" style="15"/>
  </cols>
  <sheetData>
    <row r="1" spans="1:96" x14ac:dyDescent="0.2">
      <c r="B1" s="93"/>
      <c r="C1" s="308"/>
      <c r="D1" s="308"/>
      <c r="E1" s="308"/>
      <c r="F1" s="308"/>
      <c r="G1" s="93"/>
      <c r="H1" s="308"/>
      <c r="I1" s="308"/>
      <c r="J1" s="308"/>
      <c r="K1" s="308"/>
      <c r="L1" s="93"/>
      <c r="M1" s="308"/>
      <c r="N1" s="308"/>
      <c r="O1" s="308"/>
      <c r="P1" s="308"/>
      <c r="Q1" s="93"/>
      <c r="R1" s="308"/>
      <c r="S1" s="308"/>
      <c r="T1" s="308"/>
      <c r="U1" s="308"/>
      <c r="V1" s="93"/>
      <c r="W1" s="308"/>
      <c r="X1" s="308"/>
      <c r="Y1" s="308"/>
      <c r="Z1" s="308"/>
      <c r="AB1" s="308"/>
      <c r="AC1" s="308"/>
      <c r="AD1" s="308"/>
      <c r="AE1" s="308"/>
      <c r="AG1" s="308"/>
      <c r="AH1" s="308"/>
      <c r="AI1" s="308"/>
      <c r="AJ1" s="308"/>
      <c r="AL1" s="308"/>
      <c r="AM1" s="308"/>
      <c r="AN1" s="308"/>
      <c r="AO1" s="308"/>
      <c r="AQ1" s="308"/>
      <c r="AR1" s="308"/>
      <c r="AS1" s="308"/>
      <c r="AT1" s="308"/>
      <c r="AV1" s="308"/>
      <c r="AW1" s="308"/>
      <c r="AX1" s="308"/>
      <c r="AY1" s="308"/>
      <c r="BA1" s="308"/>
      <c r="BB1" s="308"/>
      <c r="BC1" s="308"/>
      <c r="BD1" s="308"/>
      <c r="BF1" s="308"/>
      <c r="BG1" s="308"/>
      <c r="BH1" s="308"/>
      <c r="BI1" s="308"/>
      <c r="BK1" s="305" t="s">
        <v>165</v>
      </c>
      <c r="BL1" s="305"/>
      <c r="BM1" s="305"/>
      <c r="BN1" s="305"/>
      <c r="BO1" s="305"/>
    </row>
    <row r="2" spans="1:96" x14ac:dyDescent="0.2">
      <c r="A2" s="94" t="s">
        <v>152</v>
      </c>
      <c r="B2" s="95"/>
      <c r="C2" s="306" t="s">
        <v>111</v>
      </c>
      <c r="D2" s="307"/>
      <c r="E2" s="307"/>
      <c r="F2" s="307"/>
      <c r="G2" s="95"/>
      <c r="H2" s="306" t="s">
        <v>112</v>
      </c>
      <c r="I2" s="307"/>
      <c r="J2" s="307"/>
      <c r="K2" s="307"/>
      <c r="L2" s="95"/>
      <c r="M2" s="306" t="s">
        <v>113</v>
      </c>
      <c r="N2" s="307"/>
      <c r="O2" s="307"/>
      <c r="P2" s="307"/>
      <c r="Q2" s="95"/>
      <c r="R2" s="306" t="s">
        <v>114</v>
      </c>
      <c r="S2" s="307"/>
      <c r="T2" s="307"/>
      <c r="U2" s="307"/>
      <c r="V2" s="95"/>
      <c r="W2" s="306" t="s">
        <v>115</v>
      </c>
      <c r="X2" s="307"/>
      <c r="Y2" s="307"/>
      <c r="Z2" s="307"/>
      <c r="AB2" s="306" t="s">
        <v>116</v>
      </c>
      <c r="AC2" s="307"/>
      <c r="AD2" s="307"/>
      <c r="AE2" s="307"/>
      <c r="AG2" s="306" t="s">
        <v>121</v>
      </c>
      <c r="AH2" s="307"/>
      <c r="AI2" s="307"/>
      <c r="AJ2" s="307"/>
      <c r="AL2" s="306" t="s">
        <v>120</v>
      </c>
      <c r="AM2" s="307"/>
      <c r="AN2" s="307"/>
      <c r="AO2" s="307"/>
      <c r="AQ2" s="306" t="s">
        <v>119</v>
      </c>
      <c r="AR2" s="307"/>
      <c r="AS2" s="307"/>
      <c r="AT2" s="307"/>
      <c r="AV2" s="306" t="s">
        <v>118</v>
      </c>
      <c r="AW2" s="307"/>
      <c r="AX2" s="307"/>
      <c r="AY2" s="307"/>
      <c r="BA2" s="306" t="s">
        <v>117</v>
      </c>
      <c r="BB2" s="307"/>
      <c r="BC2" s="307"/>
      <c r="BD2" s="307"/>
      <c r="BF2" s="306" t="s">
        <v>131</v>
      </c>
      <c r="BG2" s="307"/>
      <c r="BH2" s="307"/>
      <c r="BI2" s="307"/>
      <c r="BK2" s="306" t="s">
        <v>159</v>
      </c>
      <c r="BL2" s="307"/>
      <c r="BM2" s="307"/>
      <c r="BN2" s="307"/>
      <c r="BP2" s="306" t="s">
        <v>173</v>
      </c>
      <c r="BQ2" s="307"/>
      <c r="BR2" s="307"/>
      <c r="BS2" s="307"/>
      <c r="BU2" s="306" t="s">
        <v>177</v>
      </c>
      <c r="BV2" s="307"/>
      <c r="BW2" s="307"/>
      <c r="BX2" s="307"/>
      <c r="BZ2" s="306" t="s">
        <v>179</v>
      </c>
      <c r="CA2" s="307"/>
      <c r="CB2" s="307"/>
      <c r="CC2" s="307"/>
      <c r="CE2" s="306" t="s">
        <v>200</v>
      </c>
      <c r="CF2" s="307"/>
      <c r="CG2" s="307"/>
      <c r="CH2" s="307"/>
      <c r="CJ2" s="306" t="s">
        <v>205</v>
      </c>
      <c r="CK2" s="307"/>
      <c r="CL2" s="307"/>
      <c r="CM2" s="307"/>
      <c r="CO2" s="306" t="s">
        <v>210</v>
      </c>
      <c r="CP2" s="307"/>
      <c r="CQ2" s="307"/>
      <c r="CR2" s="307"/>
    </row>
    <row r="3" spans="1:96" s="187" customFormat="1" x14ac:dyDescent="0.2">
      <c r="A3" s="183" t="s">
        <v>122</v>
      </c>
      <c r="B3" s="185"/>
      <c r="C3" s="185" t="s">
        <v>9</v>
      </c>
      <c r="D3" s="185" t="s">
        <v>10</v>
      </c>
      <c r="E3" s="185" t="s">
        <v>11</v>
      </c>
      <c r="F3" s="185" t="s">
        <v>12</v>
      </c>
      <c r="G3" s="185"/>
      <c r="H3" s="185" t="s">
        <v>9</v>
      </c>
      <c r="I3" s="185" t="s">
        <v>10</v>
      </c>
      <c r="J3" s="185" t="s">
        <v>11</v>
      </c>
      <c r="K3" s="185" t="s">
        <v>12</v>
      </c>
      <c r="L3" s="185"/>
      <c r="M3" s="185" t="s">
        <v>9</v>
      </c>
      <c r="N3" s="185" t="s">
        <v>10</v>
      </c>
      <c r="O3" s="185" t="s">
        <v>11</v>
      </c>
      <c r="P3" s="185" t="s">
        <v>12</v>
      </c>
      <c r="Q3" s="185"/>
      <c r="R3" s="185" t="s">
        <v>9</v>
      </c>
      <c r="S3" s="185" t="s">
        <v>10</v>
      </c>
      <c r="T3" s="185" t="s">
        <v>11</v>
      </c>
      <c r="U3" s="185" t="s">
        <v>12</v>
      </c>
      <c r="V3" s="185"/>
      <c r="W3" s="185" t="s">
        <v>9</v>
      </c>
      <c r="X3" s="185" t="s">
        <v>10</v>
      </c>
      <c r="Y3" s="185" t="s">
        <v>11</v>
      </c>
      <c r="Z3" s="185" t="s">
        <v>12</v>
      </c>
      <c r="AB3" s="185" t="s">
        <v>9</v>
      </c>
      <c r="AC3" s="185" t="s">
        <v>10</v>
      </c>
      <c r="AD3" s="185" t="s">
        <v>11</v>
      </c>
      <c r="AE3" s="185" t="s">
        <v>12</v>
      </c>
      <c r="AG3" s="185" t="s">
        <v>9</v>
      </c>
      <c r="AH3" s="185" t="s">
        <v>10</v>
      </c>
      <c r="AI3" s="185" t="s">
        <v>11</v>
      </c>
      <c r="AJ3" s="185" t="s">
        <v>12</v>
      </c>
      <c r="AL3" s="185" t="s">
        <v>9</v>
      </c>
      <c r="AM3" s="185" t="s">
        <v>10</v>
      </c>
      <c r="AN3" s="185" t="s">
        <v>11</v>
      </c>
      <c r="AO3" s="185" t="s">
        <v>12</v>
      </c>
      <c r="AQ3" s="185" t="s">
        <v>9</v>
      </c>
      <c r="AR3" s="185" t="s">
        <v>10</v>
      </c>
      <c r="AS3" s="185" t="s">
        <v>11</v>
      </c>
      <c r="AT3" s="185" t="s">
        <v>12</v>
      </c>
      <c r="AV3" s="185" t="s">
        <v>9</v>
      </c>
      <c r="AW3" s="186" t="s">
        <v>10</v>
      </c>
      <c r="AX3" s="186" t="s">
        <v>11</v>
      </c>
      <c r="AY3" s="186" t="s">
        <v>12</v>
      </c>
      <c r="AZ3" s="188"/>
      <c r="BA3" s="186" t="s">
        <v>9</v>
      </c>
      <c r="BB3" s="186" t="s">
        <v>10</v>
      </c>
      <c r="BC3" s="186" t="s">
        <v>11</v>
      </c>
      <c r="BD3" s="186" t="s">
        <v>12</v>
      </c>
      <c r="BE3" s="188"/>
      <c r="BF3" s="186" t="s">
        <v>9</v>
      </c>
      <c r="BG3" s="186" t="s">
        <v>10</v>
      </c>
      <c r="BH3" s="186" t="s">
        <v>11</v>
      </c>
      <c r="BI3" s="186" t="s">
        <v>12</v>
      </c>
      <c r="BJ3" s="188"/>
      <c r="BK3" s="186" t="s">
        <v>9</v>
      </c>
      <c r="BL3" s="186" t="s">
        <v>10</v>
      </c>
      <c r="BM3" s="186" t="s">
        <v>11</v>
      </c>
      <c r="BN3" s="186" t="s">
        <v>12</v>
      </c>
      <c r="BP3" s="186" t="s">
        <v>9</v>
      </c>
      <c r="BQ3" s="186" t="s">
        <v>10</v>
      </c>
      <c r="BR3" s="186" t="s">
        <v>11</v>
      </c>
      <c r="BS3" s="186" t="s">
        <v>12</v>
      </c>
      <c r="BU3" s="186" t="s">
        <v>9</v>
      </c>
      <c r="BV3" s="186" t="s">
        <v>10</v>
      </c>
      <c r="BW3" s="186" t="s">
        <v>11</v>
      </c>
      <c r="BX3" s="186" t="s">
        <v>12</v>
      </c>
      <c r="BZ3" s="186" t="s">
        <v>9</v>
      </c>
      <c r="CA3" s="186" t="s">
        <v>10</v>
      </c>
      <c r="CB3" s="186" t="s">
        <v>11</v>
      </c>
      <c r="CC3" s="186" t="s">
        <v>12</v>
      </c>
      <c r="CE3" s="186" t="s">
        <v>9</v>
      </c>
      <c r="CF3" s="186" t="s">
        <v>10</v>
      </c>
      <c r="CG3" s="186" t="s">
        <v>11</v>
      </c>
      <c r="CH3" s="186" t="s">
        <v>12</v>
      </c>
      <c r="CJ3" s="186" t="s">
        <v>9</v>
      </c>
      <c r="CK3" s="186" t="s">
        <v>10</v>
      </c>
      <c r="CL3" s="186" t="s">
        <v>11</v>
      </c>
      <c r="CM3" s="186" t="s">
        <v>12</v>
      </c>
      <c r="CO3" s="186" t="s">
        <v>9</v>
      </c>
      <c r="CP3" s="186" t="s">
        <v>10</v>
      </c>
      <c r="CQ3" s="186" t="s">
        <v>11</v>
      </c>
      <c r="CR3" s="186" t="s">
        <v>12</v>
      </c>
    </row>
    <row r="4" spans="1:96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  <c r="CF4" s="97"/>
      <c r="CH4" s="97"/>
      <c r="CK4" s="97"/>
      <c r="CM4" s="97"/>
      <c r="CP4" s="97"/>
      <c r="CR4" s="97"/>
    </row>
    <row r="5" spans="1:96" x14ac:dyDescent="0.2">
      <c r="A5" s="96" t="s">
        <v>17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  <c r="CF5" s="97"/>
      <c r="CH5" s="97"/>
      <c r="CK5" s="97"/>
      <c r="CM5" s="97"/>
      <c r="CP5" s="97"/>
      <c r="CR5" s="97"/>
    </row>
    <row r="6" spans="1:96" x14ac:dyDescent="0.2">
      <c r="A6" s="15" t="s">
        <v>57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>
        <v>601.4</v>
      </c>
      <c r="CB6" s="200">
        <v>600.4</v>
      </c>
      <c r="CC6" s="201">
        <v>626.9</v>
      </c>
      <c r="CE6" s="200">
        <v>620.20000000000005</v>
      </c>
      <c r="CF6" s="201">
        <v>626.6</v>
      </c>
      <c r="CG6" s="200">
        <v>625.29999999999995</v>
      </c>
      <c r="CH6" s="201">
        <v>621.70000000000005</v>
      </c>
      <c r="CJ6" s="200">
        <v>616</v>
      </c>
      <c r="CK6" s="201">
        <v>537.70000000000005</v>
      </c>
      <c r="CL6" s="200">
        <v>534.70000000000005</v>
      </c>
      <c r="CM6" s="201">
        <v>528.4</v>
      </c>
      <c r="CO6" s="200">
        <v>524.79999999999995</v>
      </c>
      <c r="CP6" s="201"/>
      <c r="CQ6" s="200"/>
      <c r="CR6" s="201"/>
    </row>
    <row r="7" spans="1:96" x14ac:dyDescent="0.2">
      <c r="A7" s="15" t="s">
        <v>58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>
        <v>622.1</v>
      </c>
      <c r="CB7" s="200">
        <v>614.4</v>
      </c>
      <c r="CC7" s="201">
        <v>657.6</v>
      </c>
      <c r="CE7" s="200">
        <v>662.6</v>
      </c>
      <c r="CF7" s="201">
        <v>698</v>
      </c>
      <c r="CG7" s="200">
        <v>715.6</v>
      </c>
      <c r="CH7" s="201">
        <v>782.9</v>
      </c>
      <c r="CJ7" s="200">
        <v>818</v>
      </c>
      <c r="CK7" s="201">
        <v>808.3</v>
      </c>
      <c r="CL7" s="200">
        <v>819.6</v>
      </c>
      <c r="CM7" s="201">
        <v>844.8</v>
      </c>
      <c r="CO7" s="200">
        <v>846.7</v>
      </c>
      <c r="CP7" s="201"/>
      <c r="CQ7" s="200"/>
      <c r="CR7" s="201"/>
    </row>
    <row r="8" spans="1:96" s="98" customFormat="1" x14ac:dyDescent="0.2">
      <c r="A8" s="98" t="s">
        <v>59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>
        <f>1.5+55</f>
        <v>56.5</v>
      </c>
      <c r="CB8" s="203">
        <f>1.3+54</f>
        <v>55.3</v>
      </c>
      <c r="CC8" s="204">
        <v>24.1</v>
      </c>
      <c r="CE8" s="203">
        <f>1+32.1</f>
        <v>33.1</v>
      </c>
      <c r="CF8" s="204">
        <f>1+36.1</f>
        <v>37.1</v>
      </c>
      <c r="CG8" s="203">
        <f>1+27</f>
        <v>28</v>
      </c>
      <c r="CH8" s="204">
        <v>25.7</v>
      </c>
      <c r="CJ8" s="203">
        <f>0.8+22</f>
        <v>22.8</v>
      </c>
      <c r="CK8" s="204">
        <f>0.8+28.5</f>
        <v>29.3</v>
      </c>
      <c r="CL8" s="203">
        <v>16.600000000000001</v>
      </c>
      <c r="CM8" s="204">
        <v>12.5</v>
      </c>
      <c r="CO8" s="203">
        <f>3.6+0.8</f>
        <v>4.4000000000000004</v>
      </c>
      <c r="CP8" s="204"/>
      <c r="CQ8" s="203"/>
      <c r="CR8" s="204"/>
    </row>
    <row r="9" spans="1:96" s="100" customFormat="1" x14ac:dyDescent="0.2">
      <c r="A9" s="100" t="s">
        <v>60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>
        <f>SUM(CA6:CA8)</f>
        <v>1280</v>
      </c>
      <c r="CB9" s="206">
        <f>SUM(CB6:CB8)</f>
        <v>1270.0999999999999</v>
      </c>
      <c r="CC9" s="207">
        <f>SUM(CC6:CC8)</f>
        <v>1308.5999999999999</v>
      </c>
      <c r="CE9" s="206">
        <f>SUM(CE6:CE8)</f>
        <v>1315.9</v>
      </c>
      <c r="CF9" s="207">
        <f t="shared" ref="CF9:CH9" si="0">SUM(CF6:CF8)</f>
        <v>1361.6999999999998</v>
      </c>
      <c r="CG9" s="206">
        <f t="shared" si="0"/>
        <v>1368.9</v>
      </c>
      <c r="CH9" s="207">
        <f t="shared" si="0"/>
        <v>1430.3</v>
      </c>
      <c r="CJ9" s="206">
        <f>SUM(CJ6:CJ8)</f>
        <v>1456.8</v>
      </c>
      <c r="CK9" s="207">
        <f>SUM(CK6:CK8)</f>
        <v>1375.3</v>
      </c>
      <c r="CL9" s="206">
        <f t="shared" ref="CL9:CM9" si="1">SUM(CL6:CL8)</f>
        <v>1370.9</v>
      </c>
      <c r="CM9" s="207">
        <f t="shared" si="1"/>
        <v>1385.6999999999998</v>
      </c>
      <c r="CO9" s="206">
        <f>SUM(CO6:CO8)</f>
        <v>1375.9</v>
      </c>
      <c r="CP9" s="207"/>
      <c r="CQ9" s="206"/>
      <c r="CR9" s="207"/>
    </row>
    <row r="10" spans="1:96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  <c r="CE10" s="200"/>
      <c r="CF10" s="201"/>
      <c r="CG10" s="200"/>
      <c r="CH10" s="201"/>
      <c r="CJ10" s="200"/>
      <c r="CK10" s="201"/>
      <c r="CL10" s="200"/>
      <c r="CM10" s="201"/>
      <c r="CO10" s="200"/>
      <c r="CP10" s="201"/>
      <c r="CQ10" s="200"/>
      <c r="CR10" s="201"/>
    </row>
    <row r="11" spans="1:96" x14ac:dyDescent="0.2">
      <c r="A11" s="15" t="s">
        <v>61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>
        <v>255.2</v>
      </c>
      <c r="CB11" s="200">
        <v>237.9</v>
      </c>
      <c r="CC11" s="201">
        <v>243.6</v>
      </c>
      <c r="CE11" s="200">
        <v>243.7</v>
      </c>
      <c r="CF11" s="201">
        <v>294</v>
      </c>
      <c r="CG11" s="200">
        <v>278.60000000000002</v>
      </c>
      <c r="CH11" s="201">
        <v>287.39999999999998</v>
      </c>
      <c r="CJ11" s="200">
        <v>321.89999999999998</v>
      </c>
      <c r="CK11" s="201">
        <v>308.5</v>
      </c>
      <c r="CL11" s="200">
        <v>347.9</v>
      </c>
      <c r="CM11" s="201">
        <v>334.9</v>
      </c>
      <c r="CO11" s="200">
        <v>320.10000000000002</v>
      </c>
      <c r="CP11" s="201"/>
      <c r="CQ11" s="200"/>
      <c r="CR11" s="201"/>
    </row>
    <row r="12" spans="1:96" x14ac:dyDescent="0.2">
      <c r="A12" s="15" t="s">
        <v>19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>
        <f>361.4+0.4</f>
        <v>361.79999999999995</v>
      </c>
      <c r="CB12" s="200">
        <f>378.6+125.7</f>
        <v>504.3</v>
      </c>
      <c r="CC12" s="201">
        <f>333.2+21.3+4.6+0.1</f>
        <v>359.20000000000005</v>
      </c>
      <c r="CE12" s="200">
        <f>506.8+0.2</f>
        <v>507</v>
      </c>
      <c r="CF12" s="201">
        <f>723.9+0.2</f>
        <v>724.1</v>
      </c>
      <c r="CG12" s="200">
        <f>639.5+0.2</f>
        <v>639.70000000000005</v>
      </c>
      <c r="CH12" s="201">
        <f>528.9+97.3+8.8+0.2</f>
        <v>635.19999999999993</v>
      </c>
      <c r="CJ12" s="200">
        <f>631.8+136.3+11.9+0.2</f>
        <v>780.19999999999993</v>
      </c>
      <c r="CK12" s="201">
        <f>505.5+102.5+4.2+0.2</f>
        <v>612.40000000000009</v>
      </c>
      <c r="CL12" s="200">
        <f>518.8+90.5+0.2+4.6</f>
        <v>614.1</v>
      </c>
      <c r="CM12" s="201">
        <f>522.5+0.2+98.2+3.3</f>
        <v>624.20000000000005</v>
      </c>
      <c r="CO12" s="200">
        <f>644.2+117.8+3.2+0.2</f>
        <v>765.40000000000009</v>
      </c>
      <c r="CP12" s="201"/>
      <c r="CQ12" s="200"/>
      <c r="CR12" s="201"/>
    </row>
    <row r="13" spans="1:96" x14ac:dyDescent="0.2">
      <c r="A13" s="15" t="s">
        <v>20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  <c r="CE13" s="200"/>
      <c r="CF13" s="201"/>
      <c r="CG13" s="200"/>
      <c r="CH13" s="201"/>
      <c r="CJ13" s="200"/>
      <c r="CK13" s="201"/>
      <c r="CL13" s="200"/>
      <c r="CM13" s="201"/>
      <c r="CO13" s="200"/>
      <c r="CP13" s="201"/>
      <c r="CQ13" s="200"/>
      <c r="CR13" s="201"/>
    </row>
    <row r="14" spans="1:96" s="104" customFormat="1" x14ac:dyDescent="0.2">
      <c r="A14" s="104" t="s">
        <v>21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>
        <v>4.8</v>
      </c>
      <c r="CB14" s="210">
        <v>6.8</v>
      </c>
      <c r="CC14" s="211">
        <v>239.2</v>
      </c>
      <c r="CE14" s="210">
        <v>178.9</v>
      </c>
      <c r="CF14" s="211">
        <v>25.2</v>
      </c>
      <c r="CG14" s="210">
        <v>109.9</v>
      </c>
      <c r="CH14" s="211">
        <v>200.5</v>
      </c>
      <c r="CJ14" s="210">
        <v>118.5</v>
      </c>
      <c r="CK14" s="211">
        <v>196.2</v>
      </c>
      <c r="CL14" s="210">
        <v>117.1</v>
      </c>
      <c r="CM14" s="211">
        <v>258.5</v>
      </c>
      <c r="CO14" s="210">
        <v>144</v>
      </c>
      <c r="CP14" s="211"/>
      <c r="CQ14" s="210"/>
      <c r="CR14" s="211"/>
    </row>
    <row r="15" spans="1:96" s="98" customFormat="1" x14ac:dyDescent="0.2">
      <c r="A15" s="98" t="s">
        <v>138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  <c r="CE15" s="203"/>
      <c r="CF15" s="204"/>
      <c r="CG15" s="203"/>
      <c r="CH15" s="204"/>
      <c r="CJ15" s="203"/>
      <c r="CK15" s="204">
        <v>135.69999999999999</v>
      </c>
      <c r="CL15" s="203">
        <v>147.30000000000001</v>
      </c>
      <c r="CM15" s="204">
        <v>164.1</v>
      </c>
      <c r="CO15" s="203">
        <v>161.1</v>
      </c>
      <c r="CP15" s="204"/>
      <c r="CQ15" s="203"/>
      <c r="CR15" s="204"/>
    </row>
    <row r="16" spans="1:96" s="102" customFormat="1" x14ac:dyDescent="0.2">
      <c r="A16" s="102" t="s">
        <v>22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>
        <f>SUM(CA11:CA15)</f>
        <v>621.79999999999995</v>
      </c>
      <c r="CB16" s="213">
        <f>SUM(CB11:CB15)</f>
        <v>749</v>
      </c>
      <c r="CC16" s="214">
        <f>SUM(CC11:CC15)</f>
        <v>842</v>
      </c>
      <c r="CE16" s="213">
        <f>SUM(CE11:CE15)</f>
        <v>929.6</v>
      </c>
      <c r="CF16" s="214">
        <f t="shared" ref="CF16:CH16" si="2">SUM(CF11:CF15)</f>
        <v>1043.3</v>
      </c>
      <c r="CG16" s="213">
        <f t="shared" si="2"/>
        <v>1028.2</v>
      </c>
      <c r="CH16" s="214">
        <f t="shared" si="2"/>
        <v>1123.0999999999999</v>
      </c>
      <c r="CJ16" s="213">
        <f>SUM(CJ11:CJ15)</f>
        <v>1220.5999999999999</v>
      </c>
      <c r="CK16" s="214">
        <f t="shared" ref="CK16:CM16" si="3">SUM(CK11:CK15)</f>
        <v>1252.8000000000002</v>
      </c>
      <c r="CL16" s="213">
        <f t="shared" si="3"/>
        <v>1226.3999999999999</v>
      </c>
      <c r="CM16" s="214">
        <f t="shared" si="3"/>
        <v>1381.6999999999998</v>
      </c>
      <c r="CO16" s="213">
        <f>SUM(CO11:CO15)</f>
        <v>1390.6</v>
      </c>
      <c r="CP16" s="214"/>
      <c r="CQ16" s="213"/>
      <c r="CR16" s="214"/>
    </row>
    <row r="17" spans="1:96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  <c r="CE17" s="203"/>
      <c r="CF17" s="204"/>
      <c r="CG17" s="203"/>
      <c r="CH17" s="204"/>
      <c r="CJ17" s="203"/>
      <c r="CK17" s="204"/>
      <c r="CL17" s="203"/>
      <c r="CM17" s="204"/>
      <c r="CO17" s="203"/>
      <c r="CP17" s="204"/>
      <c r="CQ17" s="203"/>
      <c r="CR17" s="204"/>
    </row>
    <row r="18" spans="1:96" s="100" customFormat="1" x14ac:dyDescent="0.2">
      <c r="A18" s="100" t="s">
        <v>23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>
        <f>CA16+CA9</f>
        <v>1901.8</v>
      </c>
      <c r="CB18" s="206">
        <f>CB16+CB9</f>
        <v>2019.1</v>
      </c>
      <c r="CC18" s="207">
        <f>CC16+CC9</f>
        <v>2150.6</v>
      </c>
      <c r="CE18" s="206">
        <f>CE16+CE9</f>
        <v>2245.5</v>
      </c>
      <c r="CF18" s="207">
        <f t="shared" ref="CF18:CH18" si="4">CF16+CF9</f>
        <v>2405</v>
      </c>
      <c r="CG18" s="206">
        <f t="shared" si="4"/>
        <v>2397.1000000000004</v>
      </c>
      <c r="CH18" s="207">
        <f t="shared" si="4"/>
        <v>2553.3999999999996</v>
      </c>
      <c r="CJ18" s="206">
        <f>CJ16+CJ9</f>
        <v>2677.3999999999996</v>
      </c>
      <c r="CK18" s="207">
        <f t="shared" ref="CK18:CM18" si="5">CK16+CK9</f>
        <v>2628.1000000000004</v>
      </c>
      <c r="CL18" s="206">
        <f t="shared" si="5"/>
        <v>2597.3000000000002</v>
      </c>
      <c r="CM18" s="207">
        <f t="shared" si="5"/>
        <v>2767.3999999999996</v>
      </c>
      <c r="CO18" s="206">
        <f>CO16+CO9</f>
        <v>2766.5</v>
      </c>
      <c r="CP18" s="207"/>
      <c r="CQ18" s="206"/>
      <c r="CR18" s="207"/>
    </row>
    <row r="19" spans="1:96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  <c r="CE19" s="200"/>
      <c r="CF19" s="201"/>
      <c r="CG19" s="200"/>
      <c r="CH19" s="201"/>
      <c r="CJ19" s="200"/>
      <c r="CK19" s="201"/>
      <c r="CL19" s="200"/>
      <c r="CM19" s="201"/>
      <c r="CO19" s="200"/>
      <c r="CP19" s="201"/>
      <c r="CQ19" s="200"/>
      <c r="CR19" s="201"/>
    </row>
    <row r="20" spans="1:96" x14ac:dyDescent="0.2">
      <c r="A20" s="96" t="s">
        <v>18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  <c r="CE20" s="200"/>
      <c r="CF20" s="201"/>
      <c r="CG20" s="200"/>
      <c r="CH20" s="201"/>
      <c r="CJ20" s="200"/>
      <c r="CK20" s="201"/>
      <c r="CL20" s="200"/>
      <c r="CM20" s="201"/>
      <c r="CO20" s="200"/>
      <c r="CP20" s="201"/>
      <c r="CQ20" s="200"/>
      <c r="CR20" s="201"/>
    </row>
    <row r="21" spans="1:96" x14ac:dyDescent="0.2">
      <c r="A21" s="15" t="s">
        <v>24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>
        <v>705.8</v>
      </c>
      <c r="CB21" s="200">
        <v>703</v>
      </c>
      <c r="CC21" s="201">
        <v>924</v>
      </c>
      <c r="CE21" s="200">
        <v>954.8</v>
      </c>
      <c r="CF21" s="201">
        <v>1005.6</v>
      </c>
      <c r="CG21" s="200">
        <v>979</v>
      </c>
      <c r="CH21" s="201">
        <v>1007.5</v>
      </c>
      <c r="CJ21" s="200">
        <v>1061.5999999999999</v>
      </c>
      <c r="CK21" s="201">
        <v>944.8</v>
      </c>
      <c r="CL21" s="200">
        <v>931.3</v>
      </c>
      <c r="CM21" s="201">
        <v>990.2</v>
      </c>
      <c r="CO21" s="200">
        <v>1013.9</v>
      </c>
      <c r="CP21" s="201"/>
      <c r="CQ21" s="200"/>
      <c r="CR21" s="201"/>
    </row>
    <row r="22" spans="1:96" x14ac:dyDescent="0.2">
      <c r="A22" s="15" t="s">
        <v>175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>
        <v>156.4</v>
      </c>
      <c r="CB22" s="200">
        <v>150.30000000000001</v>
      </c>
      <c r="CC22" s="201">
        <v>152.4</v>
      </c>
      <c r="CE22" s="200">
        <v>154.4</v>
      </c>
      <c r="CF22" s="201">
        <v>156.4</v>
      </c>
      <c r="CG22" s="200">
        <v>150.30000000000001</v>
      </c>
      <c r="CH22" s="201">
        <v>152.4</v>
      </c>
      <c r="CJ22" s="200">
        <v>154.4</v>
      </c>
      <c r="CK22" s="201">
        <v>156.4</v>
      </c>
      <c r="CL22" s="200">
        <v>150.9</v>
      </c>
      <c r="CM22" s="201">
        <v>153.6</v>
      </c>
      <c r="CO22" s="200">
        <v>156.30000000000001</v>
      </c>
      <c r="CP22" s="201"/>
      <c r="CQ22" s="200"/>
      <c r="CR22" s="201"/>
    </row>
    <row r="23" spans="1:96" s="98" customFormat="1" x14ac:dyDescent="0.2">
      <c r="A23" s="98" t="s">
        <v>7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>
        <v>0</v>
      </c>
      <c r="CB23" s="203">
        <v>0</v>
      </c>
      <c r="CC23" s="204">
        <v>0</v>
      </c>
      <c r="CE23" s="203">
        <v>0</v>
      </c>
      <c r="CF23" s="204">
        <v>0</v>
      </c>
      <c r="CG23" s="203">
        <v>0</v>
      </c>
      <c r="CH23" s="204">
        <v>0</v>
      </c>
      <c r="CJ23" s="203">
        <v>0</v>
      </c>
      <c r="CK23" s="204">
        <v>0</v>
      </c>
      <c r="CL23" s="203">
        <v>0</v>
      </c>
      <c r="CM23" s="204">
        <v>0</v>
      </c>
      <c r="CO23" s="203">
        <v>0</v>
      </c>
      <c r="CP23" s="204"/>
      <c r="CQ23" s="203"/>
      <c r="CR23" s="204"/>
    </row>
    <row r="24" spans="1:96" x14ac:dyDescent="0.2">
      <c r="A24" s="15" t="s">
        <v>94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>
        <f>SUM(CA21:CA23)</f>
        <v>862.19999999999993</v>
      </c>
      <c r="CB24" s="200">
        <f>SUM(CB21:CB23)</f>
        <v>853.3</v>
      </c>
      <c r="CC24" s="201">
        <f>SUM(CC21:CC23)</f>
        <v>1076.4000000000001</v>
      </c>
      <c r="CE24" s="200">
        <f>SUM(CE21:CE23)</f>
        <v>1109.2</v>
      </c>
      <c r="CF24" s="201">
        <f t="shared" ref="CF24:CH24" si="6">SUM(CF21:CF23)</f>
        <v>1162</v>
      </c>
      <c r="CG24" s="200">
        <f t="shared" si="6"/>
        <v>1129.3</v>
      </c>
      <c r="CH24" s="201">
        <f t="shared" si="6"/>
        <v>1159.9000000000001</v>
      </c>
      <c r="CJ24" s="200">
        <f>SUM(CJ21:CJ23)</f>
        <v>1216</v>
      </c>
      <c r="CK24" s="201">
        <f t="shared" ref="CK24:CM24" si="7">SUM(CK21:CK23)</f>
        <v>1101.2</v>
      </c>
      <c r="CL24" s="200">
        <f t="shared" si="7"/>
        <v>1082.2</v>
      </c>
      <c r="CM24" s="201">
        <f t="shared" si="7"/>
        <v>1143.8</v>
      </c>
      <c r="CO24" s="200">
        <f>SUM(CO21:CO23)</f>
        <v>1170.2</v>
      </c>
      <c r="CP24" s="201"/>
      <c r="CQ24" s="200"/>
      <c r="CR24" s="201"/>
    </row>
    <row r="25" spans="1:96" x14ac:dyDescent="0.2">
      <c r="A25" s="15" t="s">
        <v>46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>
        <f>34.3+55.6+10.9</f>
        <v>100.80000000000001</v>
      </c>
      <c r="CB25" s="200">
        <f>38.4+55.6+9.7</f>
        <v>103.7</v>
      </c>
      <c r="CC25" s="201">
        <f>40.9+67.1</f>
        <v>108</v>
      </c>
      <c r="CE25" s="200">
        <f>53.5+66.1</f>
        <v>119.6</v>
      </c>
      <c r="CF25" s="201">
        <f>66.9+72.7</f>
        <v>139.60000000000002</v>
      </c>
      <c r="CG25" s="200">
        <f>59.2+74.8</f>
        <v>134</v>
      </c>
      <c r="CH25" s="201">
        <f>71.8+62.5</f>
        <v>134.30000000000001</v>
      </c>
      <c r="CJ25" s="200">
        <f>86.2+62.5</f>
        <v>148.69999999999999</v>
      </c>
      <c r="CK25" s="201">
        <f>48.1+61.9</f>
        <v>110</v>
      </c>
      <c r="CL25" s="200">
        <v>100.7</v>
      </c>
      <c r="CM25" s="201">
        <f>52.7+54.9</f>
        <v>107.6</v>
      </c>
      <c r="CO25" s="200">
        <f>59.3+52.8</f>
        <v>112.1</v>
      </c>
      <c r="CP25" s="201"/>
      <c r="CQ25" s="200"/>
      <c r="CR25" s="201"/>
    </row>
    <row r="26" spans="1:96" x14ac:dyDescent="0.2">
      <c r="A26" s="15" t="s">
        <v>77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>
        <v>307.5</v>
      </c>
      <c r="CB26" s="200">
        <v>315</v>
      </c>
      <c r="CC26" s="201">
        <v>200.6</v>
      </c>
      <c r="CE26" s="200">
        <v>196.8</v>
      </c>
      <c r="CF26" s="201">
        <v>198.5</v>
      </c>
      <c r="CG26" s="200">
        <v>192.8</v>
      </c>
      <c r="CH26" s="201">
        <v>196.4</v>
      </c>
      <c r="CJ26" s="200">
        <v>213.3</v>
      </c>
      <c r="CK26" s="201">
        <v>200.5</v>
      </c>
      <c r="CL26" s="200">
        <v>179.3</v>
      </c>
      <c r="CM26" s="201">
        <v>180.9</v>
      </c>
      <c r="CO26" s="200">
        <v>171.9</v>
      </c>
      <c r="CP26" s="201"/>
      <c r="CQ26" s="200"/>
      <c r="CR26" s="201"/>
    </row>
    <row r="27" spans="1:96" x14ac:dyDescent="0.2">
      <c r="A27" s="15" t="s">
        <v>78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>
        <v>21.5</v>
      </c>
      <c r="CB27" s="200">
        <v>11.7</v>
      </c>
      <c r="CC27" s="201">
        <v>12.8</v>
      </c>
      <c r="CE27" s="227">
        <v>12.8</v>
      </c>
      <c r="CF27" s="201">
        <v>13</v>
      </c>
      <c r="CG27" s="200">
        <v>14</v>
      </c>
      <c r="CH27" s="201">
        <v>17.5</v>
      </c>
      <c r="CJ27" s="227">
        <v>14.8</v>
      </c>
      <c r="CK27" s="201">
        <v>14.7</v>
      </c>
      <c r="CL27" s="200">
        <v>13.5</v>
      </c>
      <c r="CM27" s="201">
        <v>14.9</v>
      </c>
      <c r="CO27" s="227">
        <v>15.5</v>
      </c>
      <c r="CP27" s="201"/>
      <c r="CQ27" s="200"/>
      <c r="CR27" s="201"/>
    </row>
    <row r="28" spans="1:96" s="104" customFormat="1" x14ac:dyDescent="0.2">
      <c r="A28" s="104" t="s">
        <v>62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>
        <f>582.9+26.9</f>
        <v>609.79999999999995</v>
      </c>
      <c r="CB28" s="210">
        <f>716+19.4</f>
        <v>735.4</v>
      </c>
      <c r="CC28" s="211">
        <f>273.2+168+296.5+2.1+13</f>
        <v>752.80000000000007</v>
      </c>
      <c r="CE28" s="210">
        <f>309.3+480.1+17.7</f>
        <v>807.10000000000014</v>
      </c>
      <c r="CF28" s="211">
        <f>350.4+528.9+12.6</f>
        <v>891.9</v>
      </c>
      <c r="CG28" s="210">
        <f>373.6+506.1+47.3</f>
        <v>927</v>
      </c>
      <c r="CH28" s="211">
        <f>341.8+170.4+459.3+10.5+63.3</f>
        <v>1045.3</v>
      </c>
      <c r="CJ28" s="210">
        <f>379.6+191.6+452.4+12.5+48.5</f>
        <v>1084.5999999999999</v>
      </c>
      <c r="CK28" s="211">
        <f>400.5+241.3+474.2+16.4+45.7</f>
        <v>1178.1000000000001</v>
      </c>
      <c r="CL28" s="210">
        <v>1198.5</v>
      </c>
      <c r="CM28" s="211">
        <f>351+223.7+677.6+9.6+22.7</f>
        <v>1284.6000000000001</v>
      </c>
      <c r="CO28" s="210">
        <f>364.4+233.6+636.9+9.1+20.8+32</f>
        <v>1296.8</v>
      </c>
      <c r="CP28" s="211"/>
      <c r="CQ28" s="210"/>
      <c r="CR28" s="211"/>
    </row>
    <row r="29" spans="1:96" s="104" customFormat="1" x14ac:dyDescent="0.2">
      <c r="A29" s="104" t="s">
        <v>139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  <c r="CE29" s="210"/>
      <c r="CF29" s="211"/>
      <c r="CG29" s="210"/>
      <c r="CH29" s="211"/>
      <c r="CJ29" s="210"/>
      <c r="CK29" s="211">
        <v>23.6</v>
      </c>
      <c r="CL29" s="210">
        <v>23.1</v>
      </c>
      <c r="CM29" s="211">
        <v>35.6</v>
      </c>
      <c r="CO29" s="210"/>
      <c r="CP29" s="211"/>
      <c r="CQ29" s="210"/>
      <c r="CR29" s="211"/>
    </row>
    <row r="30" spans="1:96" s="100" customFormat="1" x14ac:dyDescent="0.2">
      <c r="A30" s="100" t="s">
        <v>63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>
        <f>SUM(CA24:CA29)</f>
        <v>1901.8</v>
      </c>
      <c r="CB30" s="206">
        <f>SUM(CB24:CB29)</f>
        <v>2019.1</v>
      </c>
      <c r="CC30" s="207">
        <f>SUM(CC24:CC29)</f>
        <v>2150.6</v>
      </c>
      <c r="CE30" s="206">
        <f>SUM(CE24:CE29)</f>
        <v>2245.5</v>
      </c>
      <c r="CF30" s="207">
        <f t="shared" ref="CF30:CH30" si="8">SUM(CF24:CF29)</f>
        <v>2405</v>
      </c>
      <c r="CG30" s="206">
        <f t="shared" si="8"/>
        <v>2397.1</v>
      </c>
      <c r="CH30" s="207">
        <f t="shared" si="8"/>
        <v>2553.4</v>
      </c>
      <c r="CJ30" s="206">
        <f>SUM(CJ24:CJ29)</f>
        <v>2677.3999999999996</v>
      </c>
      <c r="CK30" s="207">
        <f>SUM(CK24:CK29)</f>
        <v>2628.1</v>
      </c>
      <c r="CL30" s="206">
        <f t="shared" ref="CL30:CM30" si="9">SUM(CL24:CL29)</f>
        <v>2597.2999999999997</v>
      </c>
      <c r="CM30" s="207">
        <f t="shared" si="9"/>
        <v>2767.4</v>
      </c>
      <c r="CO30" s="206">
        <f>SUM(CO24:CO29)</f>
        <v>2766.5</v>
      </c>
      <c r="CP30" s="207"/>
      <c r="CQ30" s="206"/>
      <c r="CR30" s="207"/>
    </row>
    <row r="31" spans="1:96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  <c r="CE31" s="210"/>
      <c r="CF31" s="211"/>
      <c r="CG31" s="210"/>
      <c r="CH31" s="211"/>
      <c r="CJ31" s="210"/>
      <c r="CK31" s="211"/>
      <c r="CL31" s="210"/>
      <c r="CM31" s="211"/>
      <c r="CO31" s="210"/>
      <c r="CP31" s="211"/>
      <c r="CQ31" s="210"/>
      <c r="CR31" s="211"/>
    </row>
    <row r="32" spans="1:96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  <c r="CE32" s="220"/>
      <c r="CF32" s="221"/>
      <c r="CG32" s="220"/>
      <c r="CH32" s="221"/>
      <c r="CJ32" s="220"/>
      <c r="CK32" s="221"/>
      <c r="CL32" s="220"/>
      <c r="CM32" s="221"/>
      <c r="CO32" s="220"/>
      <c r="CP32" s="221"/>
      <c r="CQ32" s="220"/>
      <c r="CR32" s="221"/>
    </row>
    <row r="33" spans="1:96 16384:16384" s="108" customFormat="1" x14ac:dyDescent="0.2">
      <c r="A33" s="106" t="s">
        <v>64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  <c r="CE33" s="223"/>
      <c r="CF33" s="224"/>
      <c r="CG33" s="223"/>
      <c r="CH33" s="224"/>
      <c r="CJ33" s="223"/>
      <c r="CK33" s="224"/>
      <c r="CL33" s="223"/>
      <c r="CM33" s="224"/>
      <c r="CO33" s="223"/>
      <c r="CP33" s="224"/>
      <c r="CQ33" s="223"/>
      <c r="CR33" s="224"/>
    </row>
    <row r="34" spans="1:96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  <c r="CE34" s="200"/>
      <c r="CF34" s="201"/>
      <c r="CG34" s="200"/>
      <c r="CH34" s="201"/>
      <c r="CJ34" s="200"/>
      <c r="CK34" s="201"/>
      <c r="CL34" s="200"/>
      <c r="CM34" s="201"/>
      <c r="CO34" s="200"/>
      <c r="CP34" s="201"/>
      <c r="CQ34" s="200"/>
      <c r="CR34" s="201"/>
    </row>
    <row r="35" spans="1:96 16384:16384" x14ac:dyDescent="0.2">
      <c r="A35" s="15" t="s">
        <v>43</v>
      </c>
      <c r="C35" s="200">
        <v>369.1275167785235</v>
      </c>
      <c r="D35" s="201">
        <f>+C48</f>
        <v>375.83892617449663</v>
      </c>
      <c r="E35" s="200">
        <f>+D48</f>
        <v>370.73825503355704</v>
      </c>
      <c r="F35" s="201">
        <f>+E48</f>
        <v>353.82550335570471</v>
      </c>
      <c r="G35" s="202"/>
      <c r="H35" s="200">
        <f>F48</f>
        <v>367.11409395973152</v>
      </c>
      <c r="I35" s="201">
        <f>H48</f>
        <v>372.48322147651004</v>
      </c>
      <c r="J35" s="200">
        <f>I48</f>
        <v>348.5906040268456</v>
      </c>
      <c r="K35" s="201">
        <f>J48</f>
        <v>359.32885906040264</v>
      </c>
      <c r="L35" s="202"/>
      <c r="M35" s="200">
        <f>K48</f>
        <v>376.6442953020134</v>
      </c>
      <c r="N35" s="201">
        <f>+M48</f>
        <v>390.20134228187914</v>
      </c>
      <c r="O35" s="200">
        <f>+N48</f>
        <v>385.50335570469792</v>
      </c>
      <c r="P35" s="201">
        <f>+O48</f>
        <v>401.2080536912751</v>
      </c>
      <c r="Q35" s="202"/>
      <c r="R35" s="200">
        <f>+P48</f>
        <v>440.67114093959725</v>
      </c>
      <c r="S35" s="201">
        <f>+R48</f>
        <v>453.15436241610735</v>
      </c>
      <c r="T35" s="200">
        <f>+S48</f>
        <v>455.97315436241604</v>
      </c>
      <c r="U35" s="201">
        <f>+T48</f>
        <v>489.12751677852344</v>
      </c>
      <c r="V35" s="202"/>
      <c r="W35" s="200">
        <f>+U48</f>
        <v>465.06040268456371</v>
      </c>
      <c r="X35" s="201">
        <f>+W48</f>
        <v>467.47651006711402</v>
      </c>
      <c r="Y35" s="200">
        <f>+X48</f>
        <v>475.39597315436237</v>
      </c>
      <c r="Z35" s="201">
        <f>+Y48</f>
        <v>480.3624161073825</v>
      </c>
      <c r="AA35" s="200"/>
      <c r="AB35" s="200">
        <f>+Z48</f>
        <v>501.97315436241604</v>
      </c>
      <c r="AC35" s="201">
        <f>+AB48</f>
        <v>514.32214765100662</v>
      </c>
      <c r="AD35" s="200">
        <f>+AC48</f>
        <v>543.98657718120796</v>
      </c>
      <c r="AE35" s="201">
        <f>+AD48</f>
        <v>536.73825503355692</v>
      </c>
      <c r="AF35" s="200"/>
      <c r="AG35" s="200">
        <f>+AE48</f>
        <v>551.9060402684562</v>
      </c>
      <c r="AH35" s="201">
        <f>+AG48</f>
        <v>536.0671140939595</v>
      </c>
      <c r="AI35" s="200">
        <f>+AH48</f>
        <v>535.3959731543622</v>
      </c>
      <c r="AJ35" s="201">
        <f>+AI48</f>
        <v>537.67785234899316</v>
      </c>
      <c r="AK35" s="200"/>
      <c r="AL35" s="200">
        <f>+AJ48</f>
        <v>545.73154362416096</v>
      </c>
      <c r="AM35" s="201">
        <f>+AL48</f>
        <v>553.24832214765081</v>
      </c>
      <c r="AN35" s="200">
        <f>+AM48</f>
        <v>745.99999999999977</v>
      </c>
      <c r="AO35" s="201">
        <f>+AN48</f>
        <v>759.28859060402669</v>
      </c>
      <c r="AP35" s="200"/>
      <c r="AQ35" s="227">
        <f>+AO48</f>
        <v>770.02684563758373</v>
      </c>
      <c r="AR35" s="201">
        <f>+AQ48</f>
        <v>748.81879194630847</v>
      </c>
      <c r="AS35" s="200">
        <f>+AR48</f>
        <v>752.97986577181177</v>
      </c>
      <c r="AT35" s="201">
        <f>+AS48</f>
        <v>754.05369127516747</v>
      </c>
      <c r="AU35" s="200"/>
      <c r="AV35" s="227">
        <f>+AT48</f>
        <v>761.57046979865731</v>
      </c>
      <c r="AW35" s="201">
        <f>+AV48</f>
        <v>752.44295302013381</v>
      </c>
      <c r="AX35" s="200">
        <f>+AW48</f>
        <v>763.85234899328816</v>
      </c>
      <c r="AY35" s="201">
        <f>+AX48</f>
        <v>794.45637583892574</v>
      </c>
      <c r="AZ35" s="200"/>
      <c r="BA35" s="227">
        <f>+AY48</f>
        <v>801.9731543624157</v>
      </c>
      <c r="BB35" s="201">
        <f>+BA48</f>
        <v>847.87919463087201</v>
      </c>
      <c r="BC35" s="200">
        <f>+BB48</f>
        <v>803.44966442952966</v>
      </c>
      <c r="BD35" s="201">
        <f>+BC48</f>
        <v>799.69127516778474</v>
      </c>
      <c r="BE35" s="200"/>
      <c r="BF35" s="227">
        <f>+BD48</f>
        <v>809.45127516778484</v>
      </c>
      <c r="BG35" s="201">
        <f>+BF48</f>
        <v>802.95227516778493</v>
      </c>
      <c r="BH35" s="200">
        <f>+BG48</f>
        <v>801.65227516778498</v>
      </c>
      <c r="BI35" s="201">
        <f>+BH48</f>
        <v>760.15227516778498</v>
      </c>
      <c r="BJ35" s="200"/>
      <c r="BK35" s="227">
        <f>+BI48</f>
        <v>951.35227516778491</v>
      </c>
      <c r="BL35" s="201">
        <f>+BK48</f>
        <v>971.45227516778493</v>
      </c>
      <c r="BM35" s="200">
        <f>+BL48</f>
        <v>982.15227516778498</v>
      </c>
      <c r="BN35" s="201">
        <f>+BM48</f>
        <v>993.252275167785</v>
      </c>
      <c r="BO35" s="200"/>
      <c r="BP35" s="227">
        <f>+BN48</f>
        <v>816.25227516778523</v>
      </c>
      <c r="BQ35" s="201">
        <f>+BP48</f>
        <v>774.85227516778525</v>
      </c>
      <c r="BR35" s="200">
        <f>+BQ48</f>
        <v>767.15227516778532</v>
      </c>
      <c r="BS35" s="201">
        <f>+BR48</f>
        <v>924.45227516778527</v>
      </c>
      <c r="BT35" s="200"/>
      <c r="BU35" s="227">
        <f>+BS48</f>
        <v>895.55227516778518</v>
      </c>
      <c r="BV35" s="201">
        <f>+BU48</f>
        <v>868.15227516778521</v>
      </c>
      <c r="BW35" s="200">
        <f>+BV48</f>
        <v>844.05227516778518</v>
      </c>
      <c r="BX35" s="201">
        <f>+BW48</f>
        <v>806.25227516778511</v>
      </c>
      <c r="BZ35" s="227">
        <f>+BX48</f>
        <v>803.75227516778511</v>
      </c>
      <c r="CA35" s="201">
        <f>+BZ48</f>
        <v>723.85227516778514</v>
      </c>
      <c r="CB35" s="200">
        <f>+CA48</f>
        <v>862.15227516778521</v>
      </c>
      <c r="CC35" s="201">
        <f>+CB48</f>
        <v>853.25227516778511</v>
      </c>
      <c r="CE35" s="227">
        <f>+CC48</f>
        <v>1076.3522751677851</v>
      </c>
      <c r="CF35" s="201">
        <f>+CE48</f>
        <v>1109.1522751677851</v>
      </c>
      <c r="CG35" s="200">
        <f>+CF48</f>
        <v>1161.952275167785</v>
      </c>
      <c r="CH35" s="201">
        <f>+CG48</f>
        <v>1129.2522751677852</v>
      </c>
      <c r="CJ35" s="227">
        <f>+CH48</f>
        <v>1159.8522751677851</v>
      </c>
      <c r="CK35" s="201">
        <f>+CJ48</f>
        <v>1215.9522751677853</v>
      </c>
      <c r="CL35" s="200">
        <f>+CK48</f>
        <v>1101.1522751677851</v>
      </c>
      <c r="CM35" s="201">
        <f>+CL48</f>
        <v>1082.1522751677851</v>
      </c>
      <c r="CO35" s="227">
        <f>+CM48</f>
        <v>1143.752275167785</v>
      </c>
      <c r="CP35" s="201"/>
      <c r="CQ35" s="200"/>
      <c r="CR35" s="201"/>
    </row>
    <row r="36" spans="1:96 16384:16384" s="98" customFormat="1" x14ac:dyDescent="0.2">
      <c r="A36" s="98" t="s">
        <v>25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>
        <v>0</v>
      </c>
      <c r="CB36" s="203">
        <v>0</v>
      </c>
      <c r="CC36" s="204">
        <v>0</v>
      </c>
      <c r="CE36" s="228">
        <v>0</v>
      </c>
      <c r="CF36" s="204">
        <v>0</v>
      </c>
      <c r="CG36" s="203">
        <v>0</v>
      </c>
      <c r="CH36" s="204">
        <v>0</v>
      </c>
      <c r="CJ36" s="228">
        <v>0</v>
      </c>
      <c r="CK36" s="204">
        <v>0</v>
      </c>
      <c r="CL36" s="203">
        <v>0</v>
      </c>
      <c r="CM36" s="204">
        <v>0</v>
      </c>
      <c r="CO36" s="228">
        <v>0</v>
      </c>
      <c r="CP36" s="204"/>
      <c r="CQ36" s="203"/>
      <c r="CR36" s="204"/>
    </row>
    <row r="37" spans="1:96 16384:16384" x14ac:dyDescent="0.2">
      <c r="A37" s="15" t="s">
        <v>102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>
        <f>SUM(CA35:CA36)</f>
        <v>723.85227516778514</v>
      </c>
      <c r="CB37" s="227">
        <f>SUM(CB35:CB36)</f>
        <v>862.15227516778521</v>
      </c>
      <c r="CC37" s="201">
        <f>SUM(CC35:CC36)</f>
        <v>853.25227516778511</v>
      </c>
      <c r="CE37" s="227">
        <f>SUM(CE35:CE36)</f>
        <v>1076.3522751677851</v>
      </c>
      <c r="CF37" s="201">
        <f>SUM(CF35:CF36)</f>
        <v>1109.1522751677851</v>
      </c>
      <c r="CG37" s="227">
        <f>SUM(CG35:CG36)</f>
        <v>1161.952275167785</v>
      </c>
      <c r="CH37" s="201">
        <f>SUM(CH35:CH36)</f>
        <v>1129.2522751677852</v>
      </c>
      <c r="CJ37" s="227">
        <f>SUM(CJ35:CJ36)</f>
        <v>1159.8522751677851</v>
      </c>
      <c r="CK37" s="201">
        <f>SUM(CK35:CK36)</f>
        <v>1215.9522751677853</v>
      </c>
      <c r="CL37" s="227">
        <f>SUM(CL35:CL36)</f>
        <v>1101.1522751677851</v>
      </c>
      <c r="CM37" s="201">
        <f>+CM35+CM36</f>
        <v>1082.1522751677851</v>
      </c>
      <c r="CO37" s="227">
        <f>SUM(CO35:CO36)</f>
        <v>1143.752275167785</v>
      </c>
      <c r="CP37" s="201"/>
      <c r="CQ37" s="227"/>
      <c r="CR37" s="201"/>
    </row>
    <row r="38" spans="1:96 16384:16384" x14ac:dyDescent="0.2">
      <c r="A38" s="15" t="s">
        <v>65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>
        <f>+' Financial Highlights'!CP19</f>
        <v>-13.400000000000002</v>
      </c>
      <c r="CB38" s="227">
        <v>-9.6</v>
      </c>
      <c r="CC38" s="201">
        <v>-30.9</v>
      </c>
      <c r="CE38" s="227">
        <f>+' Financial Highlights'!CU19</f>
        <v>1.7000000000000013</v>
      </c>
      <c r="CF38" s="201">
        <f>+' Financial Highlights'!CV19</f>
        <v>11.1</v>
      </c>
      <c r="CG38" s="227">
        <f>+' Financial Highlights'!CW21</f>
        <v>0.20000000000000751</v>
      </c>
      <c r="CH38" s="201">
        <v>-8.9</v>
      </c>
      <c r="CJ38" s="227">
        <f>+' Financial Highlights'!DA19</f>
        <v>14.899999999999995</v>
      </c>
      <c r="CK38" s="201">
        <f>+' Financial Highlights'!DB19</f>
        <v>5.0999999999999979</v>
      </c>
      <c r="CL38" s="227">
        <f>+' Financial Highlights'!DC19</f>
        <v>19.899999999999999</v>
      </c>
      <c r="CM38" s="201">
        <f>+' Financial Highlights'!DD19</f>
        <v>22.500000000000007</v>
      </c>
      <c r="CO38" s="227">
        <v>27.6</v>
      </c>
      <c r="CP38" s="201"/>
      <c r="CQ38" s="227"/>
      <c r="CR38" s="201"/>
    </row>
    <row r="39" spans="1:96 16384:16384" x14ac:dyDescent="0.2">
      <c r="A39" s="15" t="s">
        <v>80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>
        <v>0</v>
      </c>
      <c r="CB39" s="229">
        <v>0</v>
      </c>
      <c r="CC39" s="201">
        <v>-1.4</v>
      </c>
      <c r="CE39" s="227">
        <v>0</v>
      </c>
      <c r="CF39" s="201">
        <v>0</v>
      </c>
      <c r="CG39" s="229">
        <v>0</v>
      </c>
      <c r="CH39" s="201">
        <v>2.2999999999999998</v>
      </c>
      <c r="CJ39" s="227">
        <v>0</v>
      </c>
      <c r="CK39" s="201"/>
      <c r="CL39" s="229"/>
      <c r="CM39" s="201"/>
      <c r="CO39" s="227">
        <v>0</v>
      </c>
      <c r="CP39" s="201"/>
      <c r="CQ39" s="229"/>
      <c r="CR39" s="201"/>
    </row>
    <row r="40" spans="1:96 16384:16384" x14ac:dyDescent="0.2">
      <c r="A40" s="15" t="s">
        <v>66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>
        <v>62.5</v>
      </c>
      <c r="CB40" s="229">
        <v>8.8000000000000007</v>
      </c>
      <c r="CC40" s="201">
        <v>86</v>
      </c>
      <c r="CE40" s="227">
        <f>31+0.1</f>
        <v>31.1</v>
      </c>
      <c r="CF40" s="201">
        <f>41.4+0.3</f>
        <v>41.699999999999996</v>
      </c>
      <c r="CG40" s="229">
        <v>-24.8</v>
      </c>
      <c r="CH40" s="201">
        <v>37.200000000000003</v>
      </c>
      <c r="CJ40" s="227">
        <f>43.2+0.5</f>
        <v>43.7</v>
      </c>
      <c r="CK40" s="201">
        <f>-120.4+0.5</f>
        <v>-119.9</v>
      </c>
      <c r="CL40" s="229">
        <f>-38.9+7.4</f>
        <v>-31.5</v>
      </c>
      <c r="CM40" s="201">
        <f>37.7+1.4</f>
        <v>39.1</v>
      </c>
      <c r="CO40" s="227">
        <f>25.9-8.4-8.1</f>
        <v>9.4</v>
      </c>
      <c r="CP40" s="201"/>
      <c r="CQ40" s="229"/>
      <c r="CR40" s="201"/>
    </row>
    <row r="41" spans="1:96 16384:16384" x14ac:dyDescent="0.2">
      <c r="A41" s="15" t="s">
        <v>137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  <c r="CE41" s="227"/>
      <c r="CF41" s="201"/>
      <c r="CG41" s="229"/>
      <c r="CH41" s="201"/>
      <c r="CJ41" s="227">
        <v>-2.5</v>
      </c>
      <c r="CK41" s="201"/>
      <c r="CL41" s="229"/>
      <c r="CM41" s="201"/>
      <c r="CO41" s="227">
        <f>-4.7+0.4</f>
        <v>-4.3</v>
      </c>
      <c r="CP41" s="201"/>
      <c r="CQ41" s="229"/>
      <c r="CR41" s="201"/>
    </row>
    <row r="42" spans="1:96 16384:16384" x14ac:dyDescent="0.2">
      <c r="A42" s="15" t="s">
        <v>213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/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  <c r="CE42" s="227"/>
      <c r="CF42" s="201"/>
      <c r="CG42" s="229"/>
      <c r="CH42" s="201"/>
      <c r="CJ42" s="227"/>
      <c r="CK42" s="201"/>
      <c r="CL42" s="229"/>
      <c r="CM42" s="201"/>
      <c r="CO42" s="227">
        <f>-9.3+3</f>
        <v>-6.3000000000000007</v>
      </c>
      <c r="CP42" s="201"/>
      <c r="CQ42" s="229"/>
      <c r="CR42" s="201"/>
    </row>
    <row r="43" spans="1:96 16384:16384" x14ac:dyDescent="0.2">
      <c r="A43" s="15" t="s">
        <v>176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>
        <f>150-1.7</f>
        <v>148.30000000000001</v>
      </c>
      <c r="BS43" s="201"/>
      <c r="BT43" s="200"/>
      <c r="BU43" s="227"/>
      <c r="BV43" s="201"/>
      <c r="BW43" s="229"/>
      <c r="BX43" s="201"/>
      <c r="BZ43" s="227"/>
      <c r="CA43" s="201"/>
      <c r="CB43" s="229"/>
      <c r="CC43" s="201"/>
      <c r="CE43" s="227"/>
      <c r="CF43" s="201"/>
      <c r="CG43" s="229"/>
      <c r="CH43" s="201"/>
      <c r="CJ43" s="227"/>
      <c r="CK43" s="201"/>
      <c r="CL43" s="229">
        <v>-7.4</v>
      </c>
      <c r="CM43" s="201"/>
      <c r="CO43" s="227"/>
      <c r="CP43" s="201"/>
      <c r="CQ43" s="229"/>
      <c r="CR43" s="201"/>
    </row>
    <row r="44" spans="1:96 16384:16384" x14ac:dyDescent="0.2">
      <c r="A44" s="15" t="s">
        <v>178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/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>
        <v>-8.1</v>
      </c>
      <c r="BX44" s="201"/>
      <c r="BZ44" s="227"/>
      <c r="CA44" s="201"/>
      <c r="CB44" s="229">
        <v>-8.1</v>
      </c>
      <c r="CC44" s="201"/>
      <c r="CE44" s="227"/>
      <c r="CF44" s="201"/>
      <c r="CG44" s="229">
        <v>-8.1</v>
      </c>
      <c r="CH44" s="201"/>
      <c r="CJ44" s="227"/>
      <c r="CK44" s="201"/>
      <c r="CL44" s="229"/>
      <c r="CM44" s="201"/>
      <c r="CO44" s="227"/>
      <c r="CP44" s="201"/>
      <c r="CQ44" s="229"/>
      <c r="CR44" s="201"/>
    </row>
    <row r="45" spans="1:96 16384:16384" x14ac:dyDescent="0.2">
      <c r="A45" s="15" t="s">
        <v>140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>
        <v>184.8</v>
      </c>
      <c r="BJ45" s="227"/>
      <c r="BK45" s="227"/>
      <c r="BL45" s="201"/>
      <c r="BM45" s="229"/>
      <c r="BN45" s="201"/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>
        <v>89.2</v>
      </c>
      <c r="CB45" s="229"/>
      <c r="CC45" s="201">
        <v>169.4</v>
      </c>
      <c r="CE45" s="227"/>
      <c r="CF45" s="201"/>
      <c r="CG45" s="229"/>
      <c r="CH45" s="201"/>
      <c r="CJ45" s="227"/>
      <c r="CK45" s="201"/>
      <c r="CL45" s="229"/>
      <c r="CM45" s="201"/>
      <c r="CO45" s="227"/>
      <c r="CP45" s="201"/>
      <c r="CQ45" s="229"/>
      <c r="CR45" s="201"/>
    </row>
    <row r="46" spans="1:96 16384:16384" x14ac:dyDescent="0.2">
      <c r="A46" s="15" t="s">
        <v>172</v>
      </c>
      <c r="C46" s="200"/>
      <c r="D46" s="201"/>
      <c r="E46" s="200"/>
      <c r="F46" s="201"/>
      <c r="G46" s="202"/>
      <c r="H46" s="200"/>
      <c r="I46" s="201"/>
      <c r="J46" s="200"/>
      <c r="K46" s="201"/>
      <c r="L46" s="202"/>
      <c r="M46" s="200"/>
      <c r="N46" s="201"/>
      <c r="O46" s="200"/>
      <c r="P46" s="201"/>
      <c r="Q46" s="202"/>
      <c r="R46" s="200"/>
      <c r="S46" s="201"/>
      <c r="T46" s="200"/>
      <c r="U46" s="201"/>
      <c r="V46" s="202"/>
      <c r="W46" s="227"/>
      <c r="X46" s="201"/>
      <c r="Y46" s="227"/>
      <c r="Z46" s="201"/>
      <c r="AA46" s="200"/>
      <c r="AB46" s="227"/>
      <c r="AC46" s="201"/>
      <c r="AD46" s="227"/>
      <c r="AE46" s="201"/>
      <c r="AF46" s="200"/>
      <c r="AG46" s="227"/>
      <c r="AH46" s="201"/>
      <c r="AI46" s="227"/>
      <c r="AJ46" s="201"/>
      <c r="AK46" s="200"/>
      <c r="AL46" s="227"/>
      <c r="AM46" s="201"/>
      <c r="AN46" s="227"/>
      <c r="AO46" s="201"/>
      <c r="AP46" s="200"/>
      <c r="AQ46" s="227"/>
      <c r="AR46" s="201"/>
      <c r="AS46" s="227"/>
      <c r="AT46" s="201"/>
      <c r="AU46" s="200"/>
      <c r="AV46" s="227"/>
      <c r="AW46" s="201"/>
      <c r="AX46" s="227"/>
      <c r="AY46" s="201"/>
      <c r="AZ46" s="200"/>
      <c r="BA46" s="227"/>
      <c r="BB46" s="201"/>
      <c r="BC46" s="227"/>
      <c r="BD46" s="201"/>
      <c r="BE46" s="200"/>
      <c r="BF46" s="227"/>
      <c r="BG46" s="201"/>
      <c r="BH46" s="227"/>
      <c r="BI46" s="201"/>
      <c r="BJ46" s="227"/>
      <c r="BK46" s="227"/>
      <c r="BL46" s="201"/>
      <c r="BM46" s="229">
        <v>0</v>
      </c>
      <c r="BN46" s="201">
        <v>-1039.3</v>
      </c>
      <c r="BO46" s="200"/>
      <c r="BP46" s="227"/>
      <c r="BQ46" s="201"/>
      <c r="BR46" s="229"/>
      <c r="BS46" s="201"/>
      <c r="BT46" s="200"/>
      <c r="BU46" s="227"/>
      <c r="BV46" s="201"/>
      <c r="BW46" s="229"/>
      <c r="BX46" s="201"/>
      <c r="BZ46" s="227"/>
      <c r="CA46" s="201"/>
      <c r="CB46" s="229"/>
      <c r="CC46" s="201"/>
      <c r="CE46" s="227"/>
      <c r="CF46" s="201"/>
      <c r="CG46" s="229"/>
      <c r="CH46" s="201"/>
      <c r="CJ46" s="227"/>
      <c r="CK46" s="201"/>
      <c r="CL46" s="229"/>
      <c r="CM46" s="201"/>
      <c r="CO46" s="227"/>
      <c r="CP46" s="201"/>
      <c r="CQ46" s="229"/>
      <c r="CR46" s="201"/>
    </row>
    <row r="47" spans="1:96 16384:16384" s="98" customFormat="1" x14ac:dyDescent="0.2">
      <c r="A47" s="98" t="s">
        <v>79</v>
      </c>
      <c r="B47" s="99"/>
      <c r="C47" s="203">
        <v>0</v>
      </c>
      <c r="D47" s="204">
        <v>-26.308724832214764</v>
      </c>
      <c r="E47" s="203">
        <v>0</v>
      </c>
      <c r="F47" s="204">
        <v>0</v>
      </c>
      <c r="G47" s="205"/>
      <c r="H47" s="203">
        <v>0</v>
      </c>
      <c r="I47" s="204">
        <v>-39.463087248322147</v>
      </c>
      <c r="J47" s="203">
        <v>0</v>
      </c>
      <c r="K47" s="204">
        <v>0</v>
      </c>
      <c r="L47" s="205"/>
      <c r="M47" s="203">
        <v>0</v>
      </c>
      <c r="N47" s="204">
        <v>-31.677852348993287</v>
      </c>
      <c r="O47" s="203">
        <v>0</v>
      </c>
      <c r="P47" s="204">
        <v>0</v>
      </c>
      <c r="Q47" s="205"/>
      <c r="R47" s="203">
        <v>0</v>
      </c>
      <c r="S47" s="204">
        <v>-34.899328859060404</v>
      </c>
      <c r="T47" s="203">
        <v>0</v>
      </c>
      <c r="U47" s="204">
        <v>0</v>
      </c>
      <c r="V47" s="205"/>
      <c r="W47" s="203">
        <v>0</v>
      </c>
      <c r="X47" s="204">
        <v>0</v>
      </c>
      <c r="Y47" s="230">
        <v>0</v>
      </c>
      <c r="Z47" s="204">
        <v>0</v>
      </c>
      <c r="AA47" s="203"/>
      <c r="AB47" s="203">
        <v>-11.140939597315436</v>
      </c>
      <c r="AC47" s="204">
        <v>0</v>
      </c>
      <c r="AD47" s="230">
        <v>0</v>
      </c>
      <c r="AE47" s="204">
        <v>0</v>
      </c>
      <c r="AF47" s="203"/>
      <c r="AG47" s="203">
        <v>-6.3087248322147653</v>
      </c>
      <c r="AH47" s="204">
        <v>0</v>
      </c>
      <c r="AI47" s="230">
        <v>0</v>
      </c>
      <c r="AJ47" s="204">
        <v>0</v>
      </c>
      <c r="AK47" s="203"/>
      <c r="AL47" s="203">
        <v>-6.4429530201342278</v>
      </c>
      <c r="AM47" s="204">
        <v>0</v>
      </c>
      <c r="AN47" s="230">
        <v>0</v>
      </c>
      <c r="AO47" s="204">
        <v>0</v>
      </c>
      <c r="AP47" s="203"/>
      <c r="AQ47" s="228">
        <v>-25.63758389261745</v>
      </c>
      <c r="AR47" s="204">
        <v>0</v>
      </c>
      <c r="AS47" s="230">
        <v>0</v>
      </c>
      <c r="AT47" s="204">
        <v>0</v>
      </c>
      <c r="AU47" s="203"/>
      <c r="AV47" s="228">
        <v>-11.275167785234899</v>
      </c>
      <c r="AW47" s="204">
        <v>0</v>
      </c>
      <c r="AX47" s="230">
        <v>0</v>
      </c>
      <c r="AY47" s="204">
        <v>0</v>
      </c>
      <c r="AZ47" s="203"/>
      <c r="BA47" s="228">
        <v>-13.020134228187919</v>
      </c>
      <c r="BB47" s="204">
        <v>0</v>
      </c>
      <c r="BC47" s="230">
        <v>0</v>
      </c>
      <c r="BD47" s="204">
        <v>0</v>
      </c>
      <c r="BE47" s="203"/>
      <c r="BF47" s="228">
        <v>-13</v>
      </c>
      <c r="BG47" s="204">
        <v>0</v>
      </c>
      <c r="BH47" s="230">
        <v>0</v>
      </c>
      <c r="BI47" s="204">
        <v>0</v>
      </c>
      <c r="BJ47" s="228"/>
      <c r="BK47" s="228">
        <v>0</v>
      </c>
      <c r="BL47" s="204">
        <v>0</v>
      </c>
      <c r="BM47" s="230">
        <v>0</v>
      </c>
      <c r="BN47" s="204"/>
      <c r="BO47" s="203"/>
      <c r="BP47" s="228"/>
      <c r="BQ47" s="204"/>
      <c r="BR47" s="230"/>
      <c r="BS47" s="204"/>
      <c r="BT47" s="203"/>
      <c r="BU47" s="228"/>
      <c r="BV47" s="204"/>
      <c r="BW47" s="230"/>
      <c r="BX47" s="204"/>
      <c r="BZ47" s="228"/>
      <c r="CA47" s="204"/>
      <c r="CB47" s="230"/>
      <c r="CC47" s="204"/>
      <c r="CE47" s="228"/>
      <c r="CF47" s="204"/>
      <c r="CG47" s="230"/>
      <c r="CH47" s="204"/>
      <c r="CJ47" s="228"/>
      <c r="CK47" s="204"/>
      <c r="CL47" s="230"/>
      <c r="CM47" s="204"/>
      <c r="CO47" s="228"/>
      <c r="CP47" s="204"/>
      <c r="CQ47" s="230"/>
      <c r="CR47" s="204"/>
    </row>
    <row r="48" spans="1:96 16384:16384" s="182" customFormat="1" x14ac:dyDescent="0.2">
      <c r="A48" s="182" t="s">
        <v>107</v>
      </c>
      <c r="B48" s="181"/>
      <c r="C48" s="231">
        <f>SUM(C37:C47)</f>
        <v>375.83892617449663</v>
      </c>
      <c r="D48" s="232">
        <f>SUM(D37:D47)</f>
        <v>370.73825503355704</v>
      </c>
      <c r="E48" s="231">
        <f>SUM(E37:E47)</f>
        <v>353.82550335570471</v>
      </c>
      <c r="F48" s="232">
        <f>SUM(F37:F47)</f>
        <v>367.11409395973152</v>
      </c>
      <c r="G48" s="233"/>
      <c r="H48" s="231">
        <f>SUM(H37:H47)</f>
        <v>372.48322147651004</v>
      </c>
      <c r="I48" s="232">
        <f>SUM(I37:I47)</f>
        <v>348.5906040268456</v>
      </c>
      <c r="J48" s="231">
        <f>SUM(J37:J47)</f>
        <v>359.32885906040264</v>
      </c>
      <c r="K48" s="232">
        <f>SUM(K37:K47)</f>
        <v>376.6442953020134</v>
      </c>
      <c r="L48" s="233"/>
      <c r="M48" s="231">
        <f>SUM(M37:M47)</f>
        <v>390.20134228187914</v>
      </c>
      <c r="N48" s="232">
        <f>SUM(N37:N47)</f>
        <v>385.50335570469792</v>
      </c>
      <c r="O48" s="231">
        <f>SUM(O37:O47)</f>
        <v>401.2080536912751</v>
      </c>
      <c r="P48" s="232">
        <f>SUM(P37:P47)</f>
        <v>440.67114093959725</v>
      </c>
      <c r="Q48" s="233"/>
      <c r="R48" s="231">
        <f>SUM(R37:R47)</f>
        <v>453.15436241610735</v>
      </c>
      <c r="S48" s="232">
        <f>SUM(S37:S47)</f>
        <v>455.97315436241604</v>
      </c>
      <c r="T48" s="231">
        <f>SUM(T37:T47)</f>
        <v>489.12751677852344</v>
      </c>
      <c r="U48" s="232">
        <f>SUM(U37:U47)</f>
        <v>465.06040268456371</v>
      </c>
      <c r="V48" s="233"/>
      <c r="W48" s="231">
        <f>SUM(W37:W47)</f>
        <v>467.47651006711402</v>
      </c>
      <c r="X48" s="232">
        <f>SUM(X37:X47)</f>
        <v>475.39597315436237</v>
      </c>
      <c r="Y48" s="231">
        <f>SUM(Y37:Y47)</f>
        <v>480.3624161073825</v>
      </c>
      <c r="Z48" s="232">
        <f>SUM(Z37:Z47)</f>
        <v>501.97315436241604</v>
      </c>
      <c r="AA48" s="231"/>
      <c r="AB48" s="231">
        <f>SUM(AB37:AB47)</f>
        <v>514.32214765100662</v>
      </c>
      <c r="AC48" s="232">
        <f>SUM(AC37:AC47)</f>
        <v>543.98657718120796</v>
      </c>
      <c r="AD48" s="231">
        <f>SUM(AD37:AD47)</f>
        <v>536.73825503355692</v>
      </c>
      <c r="AE48" s="232">
        <f>SUM(AE37:AE47)</f>
        <v>551.9060402684562</v>
      </c>
      <c r="AF48" s="231"/>
      <c r="AG48" s="231">
        <f>SUM(AG37:AG47)</f>
        <v>536.0671140939595</v>
      </c>
      <c r="AH48" s="232">
        <f>SUM(AH37:AH47)</f>
        <v>535.3959731543622</v>
      </c>
      <c r="AI48" s="231">
        <f>SUM(AI37:AI47)</f>
        <v>537.67785234899316</v>
      </c>
      <c r="AJ48" s="232">
        <f>SUM(AJ37:AJ47)</f>
        <v>545.73154362416096</v>
      </c>
      <c r="AK48" s="231"/>
      <c r="AL48" s="231">
        <f>SUM(AL37:AL47)</f>
        <v>553.24832214765081</v>
      </c>
      <c r="AM48" s="231">
        <f>SUM(AM37:AM47)</f>
        <v>745.99999999999977</v>
      </c>
      <c r="AN48" s="234">
        <f>SUM(AN37:AN47)</f>
        <v>759.28859060402669</v>
      </c>
      <c r="AO48" s="232">
        <f>SUM(AO37:AO47)</f>
        <v>770.02684563758373</v>
      </c>
      <c r="AP48" s="231"/>
      <c r="AQ48" s="234">
        <f>SUM(AQ37:AQ47)</f>
        <v>748.81879194630847</v>
      </c>
      <c r="AR48" s="232">
        <f>SUM(AR37:AR47)</f>
        <v>752.97986577181177</v>
      </c>
      <c r="AS48" s="234">
        <f>SUM(AS37:AS47)</f>
        <v>754.05369127516747</v>
      </c>
      <c r="AT48" s="232">
        <f>SUM(AT37:AT47)</f>
        <v>761.57046979865731</v>
      </c>
      <c r="AU48" s="231"/>
      <c r="AV48" s="234">
        <f>SUM(AV37:AV47)</f>
        <v>752.44295302013381</v>
      </c>
      <c r="AW48" s="232">
        <f>SUM(AW37:AW47)</f>
        <v>763.85234899328816</v>
      </c>
      <c r="AX48" s="234">
        <f>SUM(AX37:AX47)</f>
        <v>794.45637583892574</v>
      </c>
      <c r="AY48" s="232">
        <f>SUM(AY37:AY47)</f>
        <v>801.9731543624157</v>
      </c>
      <c r="AZ48" s="231"/>
      <c r="BA48" s="234">
        <f>SUM(BA37:BA47)</f>
        <v>847.87919463087201</v>
      </c>
      <c r="BB48" s="232">
        <f>SUM(BB37:BB47)</f>
        <v>803.44966442952966</v>
      </c>
      <c r="BC48" s="234">
        <f>SUM(BC37:BC47)</f>
        <v>799.69127516778474</v>
      </c>
      <c r="BD48" s="232">
        <f>SUM(BD37:BD47)</f>
        <v>809.45127516778484</v>
      </c>
      <c r="BE48" s="231"/>
      <c r="BF48" s="234">
        <f>SUM(BF37:BF47)</f>
        <v>802.95227516778493</v>
      </c>
      <c r="BG48" s="232">
        <f>SUM(BG37:BG47)</f>
        <v>801.65227516778498</v>
      </c>
      <c r="BH48" s="234">
        <f>SUM(BH37:BH47)</f>
        <v>760.15227516778498</v>
      </c>
      <c r="BI48" s="232">
        <f>SUM(BI37:BI47)</f>
        <v>951.35227516778491</v>
      </c>
      <c r="BJ48" s="231"/>
      <c r="BK48" s="234">
        <f>SUM(BK37:BK47)</f>
        <v>971.45227516778493</v>
      </c>
      <c r="BL48" s="232">
        <f>SUM(BL37:BL47)</f>
        <v>982.15227516778498</v>
      </c>
      <c r="BM48" s="234">
        <f>SUM(BM37:BM47)</f>
        <v>993.252275167785</v>
      </c>
      <c r="BN48" s="232">
        <f>SUM(BN37:BN47)</f>
        <v>816.25227516778523</v>
      </c>
      <c r="BO48" s="231"/>
      <c r="BP48" s="234">
        <f>SUM(BP37:BP47)</f>
        <v>774.85227516778525</v>
      </c>
      <c r="BQ48" s="232">
        <f>SUM(BQ37:BQ47)</f>
        <v>767.15227516778532</v>
      </c>
      <c r="BR48" s="234">
        <f>SUM(BR37:BR47)</f>
        <v>924.45227516778527</v>
      </c>
      <c r="BS48" s="232">
        <f>SUM(BS37:BS47)</f>
        <v>895.55227516778518</v>
      </c>
      <c r="BT48" s="231"/>
      <c r="BU48" s="234">
        <f>SUM(BU37:BU47)</f>
        <v>868.15227516778521</v>
      </c>
      <c r="BV48" s="232">
        <f>SUM(BV37:BV47)</f>
        <v>844.05227516778518</v>
      </c>
      <c r="BW48" s="234">
        <f>SUM(BW37:BW47)</f>
        <v>806.25227516778511</v>
      </c>
      <c r="BX48" s="232">
        <f>SUM(BX37:BX47)</f>
        <v>803.75227516778511</v>
      </c>
      <c r="BZ48" s="234">
        <f>SUM(BZ37:BZ47)</f>
        <v>723.85227516778514</v>
      </c>
      <c r="CA48" s="232">
        <f>SUM(CA37:CA47)</f>
        <v>862.15227516778521</v>
      </c>
      <c r="CB48" s="234">
        <f>SUM(CB37:CB47)</f>
        <v>853.25227516778511</v>
      </c>
      <c r="CC48" s="232">
        <f>SUM(CC37:CC47)</f>
        <v>1076.3522751677851</v>
      </c>
      <c r="CE48" s="234">
        <f>SUM(CE37:CE47)</f>
        <v>1109.1522751677851</v>
      </c>
      <c r="CF48" s="232">
        <f>SUM(CF37:CF47)</f>
        <v>1161.952275167785</v>
      </c>
      <c r="CG48" s="234">
        <f>SUM(CG37:CG47)</f>
        <v>1129.2522751677852</v>
      </c>
      <c r="CH48" s="232">
        <f>SUM(CH37:CH47)</f>
        <v>1159.8522751677851</v>
      </c>
      <c r="CJ48" s="234">
        <f>SUM(CJ37:CJ47)</f>
        <v>1215.9522751677853</v>
      </c>
      <c r="CK48" s="232">
        <f>SUM(CK37:CK47)</f>
        <v>1101.1522751677851</v>
      </c>
      <c r="CL48" s="234">
        <f>SUM(CL37:CL47)</f>
        <v>1082.1522751677851</v>
      </c>
      <c r="CM48" s="232">
        <f>SUM(CM37:CM47)</f>
        <v>1143.752275167785</v>
      </c>
      <c r="CO48" s="234">
        <f>SUM(CO37:CO47)</f>
        <v>1170.1522751677851</v>
      </c>
      <c r="CP48" s="232"/>
      <c r="CQ48" s="234"/>
      <c r="CR48" s="232"/>
      <c r="XFD48" s="189"/>
    </row>
    <row r="49" spans="43:93" x14ac:dyDescent="0.2">
      <c r="AQ49" s="16"/>
      <c r="AR49" s="16"/>
      <c r="AV49" s="109"/>
      <c r="AW49" s="16"/>
      <c r="BA49" s="109"/>
      <c r="BB49" s="16"/>
      <c r="BF49" s="109"/>
      <c r="BG49" s="16"/>
      <c r="BK49" s="109"/>
      <c r="BL49" s="16"/>
      <c r="BP49" s="109"/>
      <c r="BQ49" s="16"/>
      <c r="BU49" s="109"/>
      <c r="BV49" s="16"/>
      <c r="BZ49" s="109"/>
      <c r="CA49" s="16"/>
      <c r="CJ49" s="16"/>
      <c r="CO49" s="16"/>
    </row>
    <row r="50" spans="43:93" x14ac:dyDescent="0.2">
      <c r="CJ50" s="16"/>
      <c r="CO50" s="16"/>
    </row>
    <row r="51" spans="43:93" x14ac:dyDescent="0.2">
      <c r="CJ51" s="16"/>
      <c r="CO51" s="16"/>
    </row>
    <row r="52" spans="43:93" x14ac:dyDescent="0.2">
      <c r="CJ52" s="16"/>
      <c r="CO52" s="16"/>
    </row>
  </sheetData>
  <mergeCells count="32">
    <mergeCell ref="CO2:CR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H2:K2"/>
    <mergeCell ref="W1:Z1"/>
    <mergeCell ref="R2:U2"/>
    <mergeCell ref="BK1:BO1"/>
    <mergeCell ref="BK2:BN2"/>
    <mergeCell ref="BF1:BI1"/>
    <mergeCell ref="BF2:BI2"/>
    <mergeCell ref="CJ2:CM2"/>
    <mergeCell ref="CE2:CH2"/>
    <mergeCell ref="AB2:AE2"/>
    <mergeCell ref="AG1:AJ1"/>
    <mergeCell ref="AG2:AJ2"/>
    <mergeCell ref="BZ2:CC2"/>
    <mergeCell ref="BU2:BX2"/>
    <mergeCell ref="BP2:BS2"/>
    <mergeCell ref="AQ1:AT1"/>
    <mergeCell ref="AQ2:AT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K21"/>
  <sheetViews>
    <sheetView showGridLines="0" zoomScale="90" zoomScaleNormal="90" zoomScaleSheetLayoutView="75" workbookViewId="0">
      <pane xSplit="1" ySplit="4" topLeftCell="CK5" activePane="bottomRight" state="frozen"/>
      <selection activeCell="O4" sqref="O4"/>
      <selection pane="topRight" activeCell="O4" sqref="O4"/>
      <selection pane="bottomLeft" activeCell="O4" sqref="O4"/>
      <selection pane="bottomRight" activeCell="DG21" sqref="DG21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97" width="9.140625" style="15"/>
    <col min="98" max="98" width="4.28515625" style="15" customWidth="1"/>
    <col min="99" max="103" width="9.140625" style="15"/>
    <col min="104" max="104" width="3.7109375" style="15" customWidth="1"/>
    <col min="105" max="109" width="9.140625" style="15"/>
    <col min="110" max="110" width="3.7109375" style="15" customWidth="1"/>
    <col min="111" max="16384" width="9.140625" style="15"/>
  </cols>
  <sheetData>
    <row r="1" spans="1:115" x14ac:dyDescent="0.2">
      <c r="C1" s="308"/>
      <c r="D1" s="308"/>
      <c r="E1" s="308"/>
      <c r="F1" s="308"/>
      <c r="G1" s="308"/>
      <c r="I1" s="308"/>
      <c r="J1" s="308"/>
      <c r="K1" s="308"/>
      <c r="L1" s="308"/>
      <c r="M1" s="308"/>
      <c r="O1" s="308"/>
      <c r="P1" s="308"/>
      <c r="Q1" s="308"/>
      <c r="R1" s="308"/>
      <c r="S1" s="308"/>
      <c r="U1" s="308"/>
      <c r="V1" s="308"/>
      <c r="W1" s="308"/>
      <c r="X1" s="308"/>
      <c r="Y1" s="308"/>
      <c r="AA1" s="308"/>
      <c r="AB1" s="308"/>
      <c r="AC1" s="308"/>
      <c r="AD1" s="308"/>
      <c r="AE1" s="308"/>
      <c r="AG1" s="308"/>
      <c r="AH1" s="308"/>
      <c r="AI1" s="308"/>
      <c r="AJ1" s="308"/>
      <c r="AK1" s="308"/>
      <c r="AM1" s="308"/>
      <c r="AN1" s="308"/>
      <c r="AO1" s="308"/>
      <c r="AP1" s="308"/>
      <c r="AQ1" s="308"/>
      <c r="AS1" s="308"/>
      <c r="AT1" s="308"/>
      <c r="AU1" s="308"/>
      <c r="AV1" s="308"/>
      <c r="AW1" s="308"/>
      <c r="AY1" s="308"/>
      <c r="AZ1" s="308"/>
      <c r="BA1" s="308"/>
      <c r="BB1" s="308"/>
      <c r="BC1" s="308"/>
      <c r="BE1" s="308"/>
      <c r="BF1" s="308"/>
      <c r="BG1" s="308"/>
      <c r="BH1" s="308"/>
      <c r="BI1" s="308"/>
      <c r="BK1" s="308"/>
      <c r="BL1" s="308"/>
      <c r="BM1" s="308"/>
      <c r="BN1" s="308"/>
      <c r="BO1" s="308"/>
      <c r="BQ1" s="308"/>
      <c r="BR1" s="308"/>
      <c r="BS1" s="308"/>
      <c r="BT1" s="308"/>
      <c r="BU1" s="308"/>
      <c r="BW1" s="308"/>
      <c r="BX1" s="308"/>
      <c r="BY1" s="308"/>
      <c r="BZ1" s="308"/>
      <c r="CA1" s="308"/>
      <c r="CC1" s="308"/>
      <c r="CD1" s="308"/>
      <c r="CE1" s="308"/>
      <c r="CF1" s="308"/>
      <c r="CG1" s="308"/>
      <c r="CI1" s="308"/>
      <c r="CJ1" s="308"/>
      <c r="CK1" s="308"/>
      <c r="CL1" s="308"/>
      <c r="CM1" s="308"/>
    </row>
    <row r="2" spans="1:115" x14ac:dyDescent="0.2">
      <c r="AQ2" s="96"/>
      <c r="AW2" s="96"/>
      <c r="BC2" s="96"/>
      <c r="BI2" s="96"/>
      <c r="BO2" s="96"/>
      <c r="BU2" s="96"/>
      <c r="BW2" s="305"/>
      <c r="BX2" s="305"/>
      <c r="BY2" s="305"/>
      <c r="BZ2" s="305"/>
      <c r="CA2" s="305"/>
      <c r="CC2" s="305"/>
      <c r="CD2" s="305"/>
      <c r="CE2" s="305"/>
      <c r="CF2" s="305"/>
      <c r="CG2" s="305"/>
      <c r="CI2" s="305"/>
      <c r="CJ2" s="305"/>
      <c r="CK2" s="305"/>
      <c r="CL2" s="305"/>
      <c r="CM2" s="305"/>
      <c r="DA2" s="305" t="s">
        <v>206</v>
      </c>
      <c r="DB2" s="305"/>
      <c r="DC2" s="305"/>
      <c r="DD2" s="305"/>
      <c r="DE2" s="305"/>
      <c r="DG2" s="305" t="s">
        <v>211</v>
      </c>
      <c r="DH2" s="305"/>
      <c r="DI2" s="305"/>
      <c r="DJ2" s="305"/>
      <c r="DK2" s="305"/>
    </row>
    <row r="3" spans="1:115" s="104" customFormat="1" x14ac:dyDescent="0.2">
      <c r="A3" s="110" t="s">
        <v>152</v>
      </c>
      <c r="C3" s="309" t="s">
        <v>111</v>
      </c>
      <c r="D3" s="310"/>
      <c r="E3" s="310"/>
      <c r="F3" s="310"/>
      <c r="G3" s="310"/>
      <c r="I3" s="309" t="s">
        <v>112</v>
      </c>
      <c r="J3" s="310"/>
      <c r="K3" s="310"/>
      <c r="L3" s="310"/>
      <c r="M3" s="310"/>
      <c r="O3" s="309" t="s">
        <v>113</v>
      </c>
      <c r="P3" s="310"/>
      <c r="Q3" s="310"/>
      <c r="R3" s="310"/>
      <c r="S3" s="310"/>
      <c r="U3" s="309" t="s">
        <v>114</v>
      </c>
      <c r="V3" s="310"/>
      <c r="W3" s="310"/>
      <c r="X3" s="310"/>
      <c r="Y3" s="310"/>
      <c r="AA3" s="309" t="s">
        <v>115</v>
      </c>
      <c r="AB3" s="310"/>
      <c r="AC3" s="310"/>
      <c r="AD3" s="310"/>
      <c r="AE3" s="310"/>
      <c r="AG3" s="309" t="s">
        <v>116</v>
      </c>
      <c r="AH3" s="310"/>
      <c r="AI3" s="310"/>
      <c r="AJ3" s="310"/>
      <c r="AK3" s="310"/>
      <c r="AM3" s="309" t="s">
        <v>121</v>
      </c>
      <c r="AN3" s="310"/>
      <c r="AO3" s="310"/>
      <c r="AP3" s="310"/>
      <c r="AQ3" s="310"/>
      <c r="AS3" s="309" t="s">
        <v>120</v>
      </c>
      <c r="AT3" s="310"/>
      <c r="AU3" s="310"/>
      <c r="AV3" s="310"/>
      <c r="AW3" s="310"/>
      <c r="AY3" s="309" t="s">
        <v>119</v>
      </c>
      <c r="AZ3" s="310"/>
      <c r="BA3" s="310"/>
      <c r="BB3" s="310"/>
      <c r="BC3" s="310"/>
      <c r="BE3" s="309" t="s">
        <v>118</v>
      </c>
      <c r="BF3" s="310"/>
      <c r="BG3" s="310"/>
      <c r="BH3" s="310"/>
      <c r="BI3" s="310"/>
      <c r="BK3" s="309" t="s">
        <v>117</v>
      </c>
      <c r="BL3" s="310"/>
      <c r="BM3" s="310"/>
      <c r="BN3" s="310"/>
      <c r="BO3" s="310"/>
      <c r="BQ3" s="309" t="s">
        <v>131</v>
      </c>
      <c r="BR3" s="310"/>
      <c r="BS3" s="310"/>
      <c r="BT3" s="310"/>
      <c r="BU3" s="310"/>
      <c r="BW3" s="309" t="s">
        <v>159</v>
      </c>
      <c r="BX3" s="310"/>
      <c r="BY3" s="310"/>
      <c r="BZ3" s="310"/>
      <c r="CA3" s="310"/>
      <c r="CC3" s="309" t="s">
        <v>173</v>
      </c>
      <c r="CD3" s="310"/>
      <c r="CE3" s="310"/>
      <c r="CF3" s="310"/>
      <c r="CG3" s="310"/>
      <c r="CI3" s="309" t="s">
        <v>177</v>
      </c>
      <c r="CJ3" s="310"/>
      <c r="CK3" s="310"/>
      <c r="CL3" s="310"/>
      <c r="CM3" s="310"/>
      <c r="CO3" s="309" t="s">
        <v>179</v>
      </c>
      <c r="CP3" s="310"/>
      <c r="CQ3" s="310"/>
      <c r="CR3" s="310"/>
      <c r="CS3" s="310"/>
      <c r="CU3" s="309" t="s">
        <v>200</v>
      </c>
      <c r="CV3" s="310"/>
      <c r="CW3" s="310"/>
      <c r="CX3" s="310"/>
      <c r="CY3" s="310"/>
      <c r="DA3" s="309" t="s">
        <v>205</v>
      </c>
      <c r="DB3" s="310"/>
      <c r="DC3" s="310"/>
      <c r="DD3" s="310"/>
      <c r="DE3" s="310"/>
      <c r="DG3" s="309" t="s">
        <v>210</v>
      </c>
      <c r="DH3" s="310"/>
      <c r="DI3" s="310"/>
      <c r="DJ3" s="310"/>
      <c r="DK3" s="310"/>
    </row>
    <row r="4" spans="1:115" s="184" customFormat="1" x14ac:dyDescent="0.2">
      <c r="A4" s="183" t="s">
        <v>170</v>
      </c>
      <c r="C4" s="185" t="s">
        <v>9</v>
      </c>
      <c r="D4" s="185" t="s">
        <v>10</v>
      </c>
      <c r="E4" s="185" t="s">
        <v>11</v>
      </c>
      <c r="F4" s="185" t="s">
        <v>12</v>
      </c>
      <c r="G4" s="185" t="s">
        <v>13</v>
      </c>
      <c r="I4" s="185" t="s">
        <v>9</v>
      </c>
      <c r="J4" s="185" t="s">
        <v>10</v>
      </c>
      <c r="K4" s="185" t="s">
        <v>11</v>
      </c>
      <c r="L4" s="185" t="s">
        <v>12</v>
      </c>
      <c r="M4" s="185" t="s">
        <v>13</v>
      </c>
      <c r="O4" s="185" t="s">
        <v>9</v>
      </c>
      <c r="P4" s="185" t="s">
        <v>10</v>
      </c>
      <c r="Q4" s="185" t="s">
        <v>11</v>
      </c>
      <c r="R4" s="185" t="s">
        <v>12</v>
      </c>
      <c r="S4" s="185" t="s">
        <v>13</v>
      </c>
      <c r="U4" s="185" t="s">
        <v>9</v>
      </c>
      <c r="V4" s="185" t="s">
        <v>10</v>
      </c>
      <c r="W4" s="185" t="s">
        <v>11</v>
      </c>
      <c r="X4" s="185" t="s">
        <v>12</v>
      </c>
      <c r="Y4" s="185" t="s">
        <v>13</v>
      </c>
      <c r="AA4" s="185" t="s">
        <v>9</v>
      </c>
      <c r="AB4" s="185" t="s">
        <v>10</v>
      </c>
      <c r="AC4" s="185" t="s">
        <v>11</v>
      </c>
      <c r="AD4" s="185" t="s">
        <v>12</v>
      </c>
      <c r="AE4" s="185" t="s">
        <v>13</v>
      </c>
      <c r="AG4" s="185" t="s">
        <v>9</v>
      </c>
      <c r="AH4" s="185" t="s">
        <v>10</v>
      </c>
      <c r="AI4" s="185" t="s">
        <v>11</v>
      </c>
      <c r="AJ4" s="185" t="s">
        <v>12</v>
      </c>
      <c r="AK4" s="185" t="s">
        <v>13</v>
      </c>
      <c r="AM4" s="185" t="s">
        <v>9</v>
      </c>
      <c r="AN4" s="185" t="s">
        <v>10</v>
      </c>
      <c r="AO4" s="185" t="s">
        <v>11</v>
      </c>
      <c r="AP4" s="185" t="s">
        <v>12</v>
      </c>
      <c r="AQ4" s="185" t="s">
        <v>13</v>
      </c>
      <c r="AS4" s="185" t="s">
        <v>9</v>
      </c>
      <c r="AT4" s="185" t="s">
        <v>10</v>
      </c>
      <c r="AU4" s="185" t="s">
        <v>11</v>
      </c>
      <c r="AV4" s="185" t="s">
        <v>12</v>
      </c>
      <c r="AW4" s="185" t="s">
        <v>13</v>
      </c>
      <c r="AY4" s="185" t="s">
        <v>9</v>
      </c>
      <c r="AZ4" s="185" t="s">
        <v>10</v>
      </c>
      <c r="BA4" s="185" t="s">
        <v>11</v>
      </c>
      <c r="BB4" s="185" t="s">
        <v>12</v>
      </c>
      <c r="BC4" s="185" t="s">
        <v>13</v>
      </c>
      <c r="BE4" s="185" t="s">
        <v>9</v>
      </c>
      <c r="BF4" s="185" t="s">
        <v>10</v>
      </c>
      <c r="BG4" s="185" t="s">
        <v>11</v>
      </c>
      <c r="BH4" s="185" t="s">
        <v>12</v>
      </c>
      <c r="BI4" s="185" t="s">
        <v>13</v>
      </c>
      <c r="BK4" s="186" t="s">
        <v>9</v>
      </c>
      <c r="BL4" s="186" t="s">
        <v>10</v>
      </c>
      <c r="BM4" s="186" t="s">
        <v>11</v>
      </c>
      <c r="BN4" s="186" t="s">
        <v>12</v>
      </c>
      <c r="BO4" s="186" t="s">
        <v>13</v>
      </c>
      <c r="BP4" s="183"/>
      <c r="BQ4" s="186" t="s">
        <v>9</v>
      </c>
      <c r="BR4" s="186" t="s">
        <v>10</v>
      </c>
      <c r="BS4" s="186" t="s">
        <v>11</v>
      </c>
      <c r="BT4" s="186" t="s">
        <v>12</v>
      </c>
      <c r="BU4" s="186" t="s">
        <v>13</v>
      </c>
      <c r="BV4" s="183"/>
      <c r="BW4" s="186" t="s">
        <v>9</v>
      </c>
      <c r="BX4" s="186" t="s">
        <v>10</v>
      </c>
      <c r="BY4" s="186" t="s">
        <v>11</v>
      </c>
      <c r="BZ4" s="186" t="s">
        <v>12</v>
      </c>
      <c r="CA4" s="186" t="s">
        <v>13</v>
      </c>
      <c r="CC4" s="186" t="s">
        <v>9</v>
      </c>
      <c r="CD4" s="186" t="s">
        <v>10</v>
      </c>
      <c r="CE4" s="186" t="s">
        <v>11</v>
      </c>
      <c r="CF4" s="186" t="s">
        <v>12</v>
      </c>
      <c r="CG4" s="186" t="s">
        <v>13</v>
      </c>
      <c r="CI4" s="186" t="s">
        <v>9</v>
      </c>
      <c r="CJ4" s="186" t="s">
        <v>10</v>
      </c>
      <c r="CK4" s="186" t="s">
        <v>11</v>
      </c>
      <c r="CL4" s="186" t="s">
        <v>12</v>
      </c>
      <c r="CM4" s="186" t="s">
        <v>13</v>
      </c>
      <c r="CO4" s="186" t="s">
        <v>9</v>
      </c>
      <c r="CP4" s="186" t="s">
        <v>10</v>
      </c>
      <c r="CQ4" s="186" t="s">
        <v>11</v>
      </c>
      <c r="CR4" s="186" t="s">
        <v>12</v>
      </c>
      <c r="CS4" s="186" t="s">
        <v>13</v>
      </c>
      <c r="CU4" s="186" t="s">
        <v>9</v>
      </c>
      <c r="CV4" s="186" t="s">
        <v>10</v>
      </c>
      <c r="CW4" s="186" t="s">
        <v>11</v>
      </c>
      <c r="CX4" s="186" t="s">
        <v>12</v>
      </c>
      <c r="CY4" s="186" t="s">
        <v>13</v>
      </c>
      <c r="DA4" s="186" t="s">
        <v>9</v>
      </c>
      <c r="DB4" s="186" t="s">
        <v>10</v>
      </c>
      <c r="DC4" s="186" t="s">
        <v>11</v>
      </c>
      <c r="DD4" s="186" t="s">
        <v>12</v>
      </c>
      <c r="DE4" s="186" t="s">
        <v>13</v>
      </c>
      <c r="DG4" s="186" t="s">
        <v>9</v>
      </c>
      <c r="DH4" s="186" t="s">
        <v>10</v>
      </c>
      <c r="DI4" s="186" t="s">
        <v>11</v>
      </c>
      <c r="DJ4" s="186" t="s">
        <v>12</v>
      </c>
      <c r="DK4" s="186" t="s">
        <v>13</v>
      </c>
    </row>
    <row r="5" spans="1:115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  <c r="CY5" s="121"/>
      <c r="DE5" s="121"/>
      <c r="DK5" s="121"/>
    </row>
    <row r="6" spans="1:115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P6" s="15">
        <v>6.5</v>
      </c>
      <c r="CQ6" s="15">
        <v>21.4</v>
      </c>
      <c r="CR6" s="15">
        <v>13.5</v>
      </c>
      <c r="CS6" s="39">
        <f>SUM(CO6:CR6)</f>
        <v>49.4</v>
      </c>
      <c r="CU6" s="15">
        <v>30.8</v>
      </c>
      <c r="CV6" s="15">
        <v>42.4</v>
      </c>
      <c r="CW6" s="15">
        <v>33.5</v>
      </c>
      <c r="CX6" s="15">
        <v>19.2</v>
      </c>
      <c r="CY6" s="39">
        <f>SUM(CU6:CX6)</f>
        <v>125.9</v>
      </c>
      <c r="DA6" s="15">
        <v>38.799999999999997</v>
      </c>
      <c r="DB6" s="15">
        <v>40.9</v>
      </c>
      <c r="DC6" s="15">
        <v>35.200000000000003</v>
      </c>
      <c r="DD6" s="15">
        <f>+'Segment Data 2017-2023'!AJ38</f>
        <v>39.700000000000003</v>
      </c>
      <c r="DE6" s="39">
        <f>SUM(DA6:DD6)</f>
        <v>154.6</v>
      </c>
      <c r="DG6" s="15">
        <f>+'Segment Data 2017-2023'!AM38</f>
        <v>56.9</v>
      </c>
      <c r="DK6" s="39"/>
    </row>
    <row r="7" spans="1:115" x14ac:dyDescent="0.2">
      <c r="A7" s="15" t="s">
        <v>67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P7" s="15">
        <v>-0.2</v>
      </c>
      <c r="CQ7" s="15">
        <v>-6.9</v>
      </c>
      <c r="CR7" s="15">
        <v>-2.8</v>
      </c>
      <c r="CS7" s="39">
        <f>SUM(CO7:CR7)</f>
        <v>-17</v>
      </c>
      <c r="CU7" s="15">
        <v>-3.5</v>
      </c>
      <c r="CV7" s="15">
        <v>-3.5</v>
      </c>
      <c r="CW7" s="15">
        <v>-4.4000000000000004</v>
      </c>
      <c r="CX7" s="15">
        <v>-0.8</v>
      </c>
      <c r="CY7" s="39">
        <f>SUM(CU7:CX7)</f>
        <v>-12.200000000000001</v>
      </c>
      <c r="DA7" s="15">
        <v>-5.2</v>
      </c>
      <c r="DB7" s="15">
        <v>-4.9000000000000004</v>
      </c>
      <c r="DC7" s="15">
        <v>5.0999999999999996</v>
      </c>
      <c r="DD7" s="15">
        <v>13.5</v>
      </c>
      <c r="DE7" s="39">
        <f>SUM(DA7:DD7)</f>
        <v>8.4999999999999982</v>
      </c>
      <c r="DG7" s="15">
        <v>4.3</v>
      </c>
      <c r="DK7" s="39"/>
    </row>
    <row r="8" spans="1:115" x14ac:dyDescent="0.2">
      <c r="A8" s="15" t="s">
        <v>68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  <c r="CY8" s="39"/>
      <c r="DE8" s="39"/>
      <c r="DG8" s="15">
        <v>-1.4</v>
      </c>
      <c r="DK8" s="39"/>
    </row>
    <row r="9" spans="1:115" ht="12.75" customHeight="1" x14ac:dyDescent="0.2">
      <c r="A9" s="15" t="s">
        <v>69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  <c r="CY9" s="39"/>
      <c r="DE9" s="39"/>
      <c r="DK9" s="39"/>
    </row>
    <row r="10" spans="1:115" s="96" customFormat="1" ht="12.75" customHeight="1" x14ac:dyDescent="0.2">
      <c r="A10" s="15" t="s">
        <v>123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>
        <f>9.1-26.5-0.7</f>
        <v>-18.099999999999998</v>
      </c>
      <c r="CQ10" s="111">
        <f>-8.7+151+1.9</f>
        <v>144.20000000000002</v>
      </c>
      <c r="CR10" s="111">
        <v>100.2</v>
      </c>
      <c r="CS10" s="39">
        <f>SUM(CO10:CR10)</f>
        <v>103.90000000000002</v>
      </c>
      <c r="CU10" s="111">
        <f>1.9-50.9-0.6</f>
        <v>-49.6</v>
      </c>
      <c r="CV10" s="111">
        <f>1.7-142.5+2.3</f>
        <v>-138.5</v>
      </c>
      <c r="CW10" s="111">
        <f>37.2+79.1+0.4</f>
        <v>116.7</v>
      </c>
      <c r="CX10" s="111">
        <v>165.5</v>
      </c>
      <c r="CY10" s="39">
        <f>SUM(CU10:CX10)</f>
        <v>94.100000000000009</v>
      </c>
      <c r="DA10" s="111">
        <v>-74.5</v>
      </c>
      <c r="DB10" s="111">
        <f>-0.7+105.6-3.9</f>
        <v>100.99999999999999</v>
      </c>
      <c r="DC10" s="111">
        <v>-40.700000000000003</v>
      </c>
      <c r="DD10" s="111">
        <v>149.30000000000001</v>
      </c>
      <c r="DE10" s="39">
        <f>SUM(DA10:DD10)</f>
        <v>135.1</v>
      </c>
      <c r="DG10" s="111">
        <f>-122.5-3.9</f>
        <v>-126.4</v>
      </c>
      <c r="DH10" s="111"/>
      <c r="DI10" s="111"/>
      <c r="DJ10" s="111"/>
      <c r="DK10" s="39"/>
    </row>
    <row r="11" spans="1:115" s="115" customFormat="1" ht="15.75" customHeight="1" x14ac:dyDescent="0.2">
      <c r="A11" s="112" t="s">
        <v>55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>
        <f>SUM(CP6:CP10)</f>
        <v>-11.799999999999997</v>
      </c>
      <c r="CQ11" s="112">
        <f>SUM(CQ6:CQ10)</f>
        <v>158.70000000000002</v>
      </c>
      <c r="CR11" s="112">
        <f>SUM(CR6:CR10)</f>
        <v>110.9</v>
      </c>
      <c r="CS11" s="113">
        <f>SUM(CS6:CS10)</f>
        <v>136.30000000000001</v>
      </c>
      <c r="CU11" s="112">
        <f>SUM(CU6:CU10)</f>
        <v>-22.3</v>
      </c>
      <c r="CV11" s="112">
        <f t="shared" ref="CV11:CX11" si="0">SUM(CV6:CV10)</f>
        <v>-99.6</v>
      </c>
      <c r="CW11" s="112">
        <f t="shared" si="0"/>
        <v>145.80000000000001</v>
      </c>
      <c r="CX11" s="112">
        <f t="shared" si="0"/>
        <v>183.9</v>
      </c>
      <c r="CY11" s="113">
        <f>SUM(CY6:CY10)</f>
        <v>207.8</v>
      </c>
      <c r="DA11" s="112">
        <f>SUM(DA6:DA10)</f>
        <v>-40.900000000000006</v>
      </c>
      <c r="DB11" s="112">
        <f t="shared" ref="DB11:DD11" si="1">SUM(DB6:DB10)</f>
        <v>137</v>
      </c>
      <c r="DC11" s="112">
        <f t="shared" si="1"/>
        <v>-0.39999999999999858</v>
      </c>
      <c r="DD11" s="112">
        <f t="shared" si="1"/>
        <v>202.5</v>
      </c>
      <c r="DE11" s="113">
        <f>SUM(DE6:DE10)</f>
        <v>298.2</v>
      </c>
      <c r="DG11" s="112">
        <f>SUM(DG6:DG10)</f>
        <v>-66.600000000000009</v>
      </c>
      <c r="DH11" s="112"/>
      <c r="DI11" s="112"/>
      <c r="DJ11" s="112"/>
      <c r="DK11" s="113"/>
    </row>
    <row r="12" spans="1:115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  <c r="CY12" s="117"/>
      <c r="DE12" s="117"/>
      <c r="DK12" s="117"/>
    </row>
    <row r="13" spans="1:115" x14ac:dyDescent="0.2">
      <c r="A13" s="15" t="s">
        <v>96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2">SUM(BW13:BZ13)</f>
        <v>-767.7</v>
      </c>
      <c r="CD13" s="16"/>
      <c r="CE13" s="16"/>
      <c r="CF13" s="17"/>
      <c r="CG13" s="39">
        <f t="shared" ref="CG13:CG18" si="3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4">SUM(CI13:CL13)</f>
        <v>2.2000000000000002</v>
      </c>
      <c r="CP13" s="16"/>
      <c r="CQ13" s="16"/>
      <c r="CR13" s="17"/>
      <c r="CS13" s="39">
        <f t="shared" ref="CS13:CS18" si="5">SUM(CO13:CR13)</f>
        <v>0</v>
      </c>
      <c r="CU13" s="15">
        <v>2.1</v>
      </c>
      <c r="CV13" s="15">
        <v>0</v>
      </c>
      <c r="CW13" s="15">
        <v>0</v>
      </c>
      <c r="CX13" s="15">
        <v>0</v>
      </c>
      <c r="CY13" s="39">
        <f t="shared" ref="CY13:CY18" si="6">SUM(CU13:CX13)</f>
        <v>2.1</v>
      </c>
      <c r="DA13" s="15">
        <v>-15.3</v>
      </c>
      <c r="DB13" s="15">
        <v>-0.4</v>
      </c>
      <c r="DC13" s="15">
        <v>0</v>
      </c>
      <c r="DD13" s="15">
        <v>0</v>
      </c>
      <c r="DE13" s="39">
        <f t="shared" ref="DE13:DE18" si="7">SUM(DA13:DD13)</f>
        <v>-15.700000000000001</v>
      </c>
      <c r="DG13" s="15">
        <v>0</v>
      </c>
      <c r="DK13" s="39"/>
    </row>
    <row r="14" spans="1:115" x14ac:dyDescent="0.2">
      <c r="A14" s="15" t="s">
        <v>171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2"/>
        <v>379.8</v>
      </c>
      <c r="CD14" s="16"/>
      <c r="CE14" s="16"/>
      <c r="CF14" s="17"/>
      <c r="CG14" s="39">
        <f t="shared" si="3"/>
        <v>0</v>
      </c>
      <c r="CJ14" s="16"/>
      <c r="CK14" s="16"/>
      <c r="CL14" s="17"/>
      <c r="CM14" s="39">
        <f t="shared" si="4"/>
        <v>0</v>
      </c>
      <c r="CP14" s="16"/>
      <c r="CQ14" s="16"/>
      <c r="CR14" s="17"/>
      <c r="CS14" s="39">
        <f t="shared" si="5"/>
        <v>0</v>
      </c>
      <c r="CY14" s="39">
        <f t="shared" si="6"/>
        <v>0</v>
      </c>
      <c r="DE14" s="39">
        <f t="shared" si="7"/>
        <v>0</v>
      </c>
      <c r="DK14" s="39"/>
    </row>
    <row r="15" spans="1:115" x14ac:dyDescent="0.2">
      <c r="A15" s="15" t="s">
        <v>70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48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48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48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2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3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4"/>
        <v>-33.200000000000003</v>
      </c>
      <c r="CO15" s="15">
        <f>-5.7+0.2</f>
        <v>-5.5</v>
      </c>
      <c r="CP15" s="16">
        <f>-9.6+0.2</f>
        <v>-9.4</v>
      </c>
      <c r="CQ15" s="16">
        <f>-9.4+0.3</f>
        <v>-9.1</v>
      </c>
      <c r="CR15" s="17">
        <v>-41.1</v>
      </c>
      <c r="CS15" s="39">
        <f t="shared" si="5"/>
        <v>-65.099999999999994</v>
      </c>
      <c r="CU15" s="15">
        <v>-22.9</v>
      </c>
      <c r="CV15" s="15">
        <v>-47.7</v>
      </c>
      <c r="CW15" s="15">
        <f>-38.2+0.1</f>
        <v>-38.1</v>
      </c>
      <c r="CX15" s="15">
        <v>-82.4</v>
      </c>
      <c r="CY15" s="39">
        <f t="shared" si="6"/>
        <v>-191.1</v>
      </c>
      <c r="DA15" s="15">
        <v>-31.1</v>
      </c>
      <c r="DB15" s="15">
        <v>-42.1</v>
      </c>
      <c r="DC15" s="15">
        <v>-33.1</v>
      </c>
      <c r="DD15" s="15">
        <v>-47.8</v>
      </c>
      <c r="DE15" s="39">
        <f t="shared" si="7"/>
        <v>-154.10000000000002</v>
      </c>
      <c r="DG15" s="15">
        <f>-23.2+0.2</f>
        <v>-23</v>
      </c>
      <c r="DK15" s="39"/>
    </row>
    <row r="16" spans="1:115" ht="15" customHeight="1" x14ac:dyDescent="0.2">
      <c r="A16" s="15" t="s">
        <v>95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2"/>
        <v>0</v>
      </c>
      <c r="CD16" s="16"/>
      <c r="CE16" s="16"/>
      <c r="CF16" s="17"/>
      <c r="CG16" s="39">
        <f t="shared" si="3"/>
        <v>0</v>
      </c>
      <c r="CJ16" s="16"/>
      <c r="CK16" s="16"/>
      <c r="CL16" s="17"/>
      <c r="CM16" s="39">
        <f t="shared" si="4"/>
        <v>0</v>
      </c>
      <c r="CP16" s="16"/>
      <c r="CQ16" s="16"/>
      <c r="CR16" s="17"/>
      <c r="CS16" s="39">
        <f t="shared" si="5"/>
        <v>0</v>
      </c>
      <c r="CY16" s="39">
        <f t="shared" si="6"/>
        <v>0</v>
      </c>
      <c r="DE16" s="39">
        <f t="shared" si="7"/>
        <v>0</v>
      </c>
      <c r="DK16" s="39"/>
    </row>
    <row r="17" spans="1:115" x14ac:dyDescent="0.2">
      <c r="A17" s="15" t="s">
        <v>49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2"/>
        <v>0</v>
      </c>
      <c r="CD17" s="16"/>
      <c r="CE17" s="16"/>
      <c r="CF17" s="17"/>
      <c r="CG17" s="39">
        <f t="shared" si="3"/>
        <v>0</v>
      </c>
      <c r="CJ17" s="16"/>
      <c r="CK17" s="16"/>
      <c r="CL17" s="17"/>
      <c r="CM17" s="39">
        <f t="shared" si="4"/>
        <v>0</v>
      </c>
      <c r="CP17" s="16"/>
      <c r="CQ17" s="16"/>
      <c r="CR17" s="17"/>
      <c r="CS17" s="39">
        <f t="shared" si="5"/>
        <v>0</v>
      </c>
      <c r="CY17" s="39">
        <f t="shared" si="6"/>
        <v>0</v>
      </c>
      <c r="DE17" s="39">
        <f t="shared" si="7"/>
        <v>0</v>
      </c>
      <c r="DK17" s="39"/>
    </row>
    <row r="18" spans="1:115" s="96" customFormat="1" ht="12.75" customHeight="1" x14ac:dyDescent="0.2">
      <c r="A18" s="15" t="s">
        <v>88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2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3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4"/>
        <v>-35.799999999999997</v>
      </c>
      <c r="CO18" s="104">
        <v>-8.9</v>
      </c>
      <c r="CP18" s="111">
        <v>-11.9</v>
      </c>
      <c r="CQ18" s="111">
        <v>-8.8000000000000007</v>
      </c>
      <c r="CR18" s="119">
        <v>-12.7</v>
      </c>
      <c r="CS18" s="39">
        <f t="shared" si="5"/>
        <v>-42.3</v>
      </c>
      <c r="CU18" s="104">
        <v>-8.8000000000000007</v>
      </c>
      <c r="CV18" s="104">
        <v>-8</v>
      </c>
      <c r="CW18" s="104">
        <v>-9.1999999999999993</v>
      </c>
      <c r="CX18" s="104">
        <v>-10.5</v>
      </c>
      <c r="CY18" s="39">
        <f t="shared" si="6"/>
        <v>-36.5</v>
      </c>
      <c r="DA18" s="104">
        <v>-7.2</v>
      </c>
      <c r="DB18" s="104">
        <v>-6.8</v>
      </c>
      <c r="DC18" s="104">
        <v>-7.9</v>
      </c>
      <c r="DD18" s="104">
        <v>-13.1</v>
      </c>
      <c r="DE18" s="39">
        <f t="shared" si="7"/>
        <v>-35</v>
      </c>
      <c r="DG18" s="104">
        <v>-8</v>
      </c>
      <c r="DH18" s="104"/>
      <c r="DI18" s="104"/>
      <c r="DJ18" s="104"/>
      <c r="DK18" s="39"/>
    </row>
    <row r="19" spans="1:115" s="115" customFormat="1" x14ac:dyDescent="0.2">
      <c r="A19" s="112" t="s">
        <v>124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>
        <f>SUM(CP13:CP18)</f>
        <v>-21.3</v>
      </c>
      <c r="CQ19" s="112">
        <f>SUM(CQ13:CQ18)</f>
        <v>-17.899999999999999</v>
      </c>
      <c r="CR19" s="112">
        <f>SUM(CR13:CR18)</f>
        <v>-53.8</v>
      </c>
      <c r="CS19" s="113">
        <f>SUM(CS13:CS18)</f>
        <v>-107.39999999999999</v>
      </c>
      <c r="CU19" s="112">
        <f>SUM(CU13:CU18)</f>
        <v>-29.599999999999998</v>
      </c>
      <c r="CV19" s="112">
        <f t="shared" ref="CV19:CX19" si="8">SUM(CV13:CV18)</f>
        <v>-55.7</v>
      </c>
      <c r="CW19" s="112">
        <f t="shared" si="8"/>
        <v>-47.3</v>
      </c>
      <c r="CX19" s="112">
        <f t="shared" si="8"/>
        <v>-92.9</v>
      </c>
      <c r="CY19" s="113">
        <f>SUM(CY13:CY18)</f>
        <v>-225.5</v>
      </c>
      <c r="DA19" s="112">
        <f>SUM(DA13:DA18)</f>
        <v>-53.600000000000009</v>
      </c>
      <c r="DB19" s="112">
        <f t="shared" ref="DB19:DD19" si="9">SUM(DB13:DB18)</f>
        <v>-49.3</v>
      </c>
      <c r="DC19" s="112">
        <f t="shared" si="9"/>
        <v>-41</v>
      </c>
      <c r="DD19" s="112">
        <f t="shared" si="9"/>
        <v>-60.9</v>
      </c>
      <c r="DE19" s="113">
        <f>SUM(DE13:DE18)</f>
        <v>-204.8</v>
      </c>
      <c r="DG19" s="112">
        <f>SUM(DG13:DG18)</f>
        <v>-31</v>
      </c>
      <c r="DH19" s="112"/>
      <c r="DI19" s="112"/>
      <c r="DJ19" s="112"/>
      <c r="DK19" s="113"/>
    </row>
    <row r="20" spans="1:115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6"/>
      <c r="CQ20" s="118"/>
      <c r="CR20" s="197"/>
      <c r="CS20" s="117"/>
      <c r="CU20" s="116"/>
      <c r="CV20" s="116"/>
      <c r="CW20" s="116"/>
      <c r="CX20" s="116"/>
      <c r="CY20" s="117"/>
      <c r="DA20" s="116"/>
      <c r="DB20" s="116"/>
      <c r="DC20" s="116"/>
      <c r="DD20" s="116"/>
      <c r="DE20" s="117"/>
      <c r="DG20" s="116"/>
      <c r="DH20" s="116"/>
      <c r="DI20" s="116"/>
      <c r="DJ20" s="116"/>
      <c r="DK20" s="117"/>
    </row>
    <row r="21" spans="1:115" x14ac:dyDescent="0.2">
      <c r="A21" s="96" t="s">
        <v>180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>
        <f>CP11+CP19</f>
        <v>-33.099999999999994</v>
      </c>
      <c r="CQ21" s="96">
        <f>CQ11+CQ19</f>
        <v>140.80000000000001</v>
      </c>
      <c r="CR21" s="96">
        <f>CR11+CR19</f>
        <v>57.100000000000009</v>
      </c>
      <c r="CS21" s="39">
        <f>CS11+CS19</f>
        <v>28.90000000000002</v>
      </c>
      <c r="CU21" s="96">
        <f>CU11+CU19</f>
        <v>-51.9</v>
      </c>
      <c r="CV21" s="96">
        <f t="shared" ref="CV21:CX21" si="10">CV11+CV19</f>
        <v>-155.30000000000001</v>
      </c>
      <c r="CW21" s="96">
        <f t="shared" si="10"/>
        <v>98.500000000000014</v>
      </c>
      <c r="CX21" s="96">
        <f t="shared" si="10"/>
        <v>91</v>
      </c>
      <c r="CY21" s="39">
        <f>CY11+CY19</f>
        <v>-17.699999999999989</v>
      </c>
      <c r="DA21" s="96">
        <f>DA11+DA19</f>
        <v>-94.500000000000014</v>
      </c>
      <c r="DB21" s="96">
        <f t="shared" ref="DB21:DD21" si="11">DB11+DB19</f>
        <v>87.7</v>
      </c>
      <c r="DC21" s="96">
        <f t="shared" si="11"/>
        <v>-41.4</v>
      </c>
      <c r="DD21" s="96">
        <f t="shared" si="11"/>
        <v>141.6</v>
      </c>
      <c r="DE21" s="39">
        <f>DE11+DE19</f>
        <v>93.399999999999977</v>
      </c>
      <c r="DG21" s="96">
        <f>DG11+DG19</f>
        <v>-97.600000000000009</v>
      </c>
      <c r="DH21" s="96"/>
      <c r="DI21" s="96"/>
      <c r="DJ21" s="96"/>
      <c r="DK21" s="39"/>
    </row>
  </sheetData>
  <mergeCells count="39">
    <mergeCell ref="DG2:DK2"/>
    <mergeCell ref="DG3:DK3"/>
    <mergeCell ref="AS3:AW3"/>
    <mergeCell ref="AY1:BC1"/>
    <mergeCell ref="I1:M1"/>
    <mergeCell ref="CC2:CG2"/>
    <mergeCell ref="CC3:CG3"/>
    <mergeCell ref="BW2:CA2"/>
    <mergeCell ref="U3:Y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O1:S1"/>
    <mergeCell ref="O3:S3"/>
    <mergeCell ref="U1:Y1"/>
    <mergeCell ref="DA3:DE3"/>
    <mergeCell ref="CU3:CY3"/>
    <mergeCell ref="BQ1:BU1"/>
    <mergeCell ref="BQ3:BU3"/>
    <mergeCell ref="AY3:BC3"/>
    <mergeCell ref="BE3:BI3"/>
    <mergeCell ref="CO3:CS3"/>
    <mergeCell ref="CI1:CM1"/>
    <mergeCell ref="CI2:CM2"/>
    <mergeCell ref="CI3:CM3"/>
    <mergeCell ref="BW3:CA3"/>
    <mergeCell ref="BW1:CA1"/>
    <mergeCell ref="CC1:CG1"/>
    <mergeCell ref="DA2:DE2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8"/>
  <sheetViews>
    <sheetView showGridLines="0" zoomScale="85" zoomScaleNormal="85" workbookViewId="0">
      <pane xSplit="2" ySplit="3" topLeftCell="V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AP19" sqref="AP19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7109375" style="2" customWidth="1"/>
    <col min="21" max="25" width="9.140625" style="2"/>
    <col min="26" max="26" width="3.7109375" style="2" customWidth="1"/>
    <col min="27" max="31" width="9.140625" style="2"/>
    <col min="32" max="32" width="3.7109375" style="2" customWidth="1"/>
    <col min="33" max="37" width="9.140625" style="2"/>
    <col min="38" max="38" width="3.7109375" style="2" customWidth="1"/>
    <col min="39" max="16384" width="9.140625" style="2"/>
  </cols>
  <sheetData>
    <row r="1" spans="1:43" x14ac:dyDescent="0.2">
      <c r="C1" s="305"/>
      <c r="D1" s="305"/>
      <c r="E1" s="305"/>
      <c r="F1" s="305"/>
      <c r="G1" s="305"/>
      <c r="I1" s="305"/>
      <c r="J1" s="305"/>
      <c r="K1" s="305"/>
      <c r="L1" s="305"/>
      <c r="M1" s="305"/>
      <c r="O1" s="305"/>
      <c r="P1" s="305"/>
      <c r="Q1" s="305"/>
      <c r="R1" s="305"/>
      <c r="S1" s="305"/>
      <c r="AG1" s="305" t="s">
        <v>207</v>
      </c>
      <c r="AH1" s="305"/>
      <c r="AI1" s="305"/>
      <c r="AJ1" s="305"/>
      <c r="AK1" s="305"/>
      <c r="AM1" s="305" t="s">
        <v>212</v>
      </c>
      <c r="AN1" s="305"/>
      <c r="AO1" s="305"/>
      <c r="AP1" s="305"/>
      <c r="AQ1" s="305"/>
    </row>
    <row r="2" spans="1:43" x14ac:dyDescent="0.2">
      <c r="A2" s="1" t="s">
        <v>152</v>
      </c>
      <c r="C2" s="304">
        <v>2017</v>
      </c>
      <c r="D2" s="304"/>
      <c r="E2" s="304"/>
      <c r="F2" s="304"/>
      <c r="G2" s="304"/>
      <c r="I2" s="304">
        <v>2018</v>
      </c>
      <c r="J2" s="304"/>
      <c r="K2" s="304"/>
      <c r="L2" s="304"/>
      <c r="M2" s="304"/>
      <c r="O2" s="304">
        <v>2019</v>
      </c>
      <c r="P2" s="304"/>
      <c r="Q2" s="304"/>
      <c r="R2" s="304"/>
      <c r="S2" s="304"/>
      <c r="U2" s="304">
        <v>2020</v>
      </c>
      <c r="V2" s="304"/>
      <c r="W2" s="304"/>
      <c r="X2" s="304"/>
      <c r="Y2" s="304"/>
      <c r="AA2" s="304">
        <v>2021</v>
      </c>
      <c r="AB2" s="304"/>
      <c r="AC2" s="304"/>
      <c r="AD2" s="304"/>
      <c r="AE2" s="304"/>
      <c r="AG2" s="304">
        <v>2022</v>
      </c>
      <c r="AH2" s="304"/>
      <c r="AI2" s="304"/>
      <c r="AJ2" s="304"/>
      <c r="AK2" s="304"/>
      <c r="AM2" s="304">
        <v>2023</v>
      </c>
      <c r="AN2" s="304"/>
      <c r="AO2" s="304"/>
      <c r="AP2" s="304"/>
      <c r="AQ2" s="304"/>
    </row>
    <row r="3" spans="1:43" s="170" customFormat="1" x14ac:dyDescent="0.2">
      <c r="A3" s="169" t="s">
        <v>108</v>
      </c>
      <c r="B3" s="171"/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  <c r="AM3" s="172" t="s">
        <v>9</v>
      </c>
      <c r="AN3" s="172" t="s">
        <v>10</v>
      </c>
      <c r="AO3" s="172" t="s">
        <v>11</v>
      </c>
      <c r="AP3" s="172" t="s">
        <v>12</v>
      </c>
      <c r="AQ3" s="172" t="s">
        <v>13</v>
      </c>
    </row>
    <row r="4" spans="1:43" s="162" customFormat="1" x14ac:dyDescent="0.2">
      <c r="G4" s="174"/>
      <c r="M4" s="174"/>
      <c r="S4" s="174"/>
      <c r="Y4" s="174"/>
      <c r="AE4" s="174"/>
      <c r="AK4" s="174"/>
      <c r="AQ4" s="174"/>
    </row>
    <row r="5" spans="1:43" x14ac:dyDescent="0.2">
      <c r="A5" s="5" t="s">
        <v>181</v>
      </c>
      <c r="G5" s="36"/>
      <c r="M5" s="36"/>
      <c r="S5" s="36"/>
      <c r="Y5" s="36"/>
      <c r="AE5" s="36"/>
      <c r="AK5" s="36"/>
      <c r="AQ5" s="36"/>
    </row>
    <row r="6" spans="1:43" ht="12.75" customHeight="1" x14ac:dyDescent="0.2">
      <c r="A6" s="2" t="s">
        <v>182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>
        <v>151.5</v>
      </c>
      <c r="W6" s="31">
        <v>180.6</v>
      </c>
      <c r="X6" s="122">
        <v>176.8</v>
      </c>
      <c r="Y6" s="75">
        <f>SUM(U6:X6)</f>
        <v>652.59999999999991</v>
      </c>
      <c r="AA6" s="31">
        <v>190.5</v>
      </c>
      <c r="AB6" s="31">
        <v>190.9</v>
      </c>
      <c r="AC6" s="31">
        <v>210.2</v>
      </c>
      <c r="AD6" s="122">
        <v>163.6</v>
      </c>
      <c r="AE6" s="75">
        <f>SUM(AA6:AD6)</f>
        <v>755.19999999999993</v>
      </c>
      <c r="AG6" s="31">
        <v>174.2</v>
      </c>
      <c r="AH6" s="31">
        <v>230.2</v>
      </c>
      <c r="AI6" s="31">
        <v>214</v>
      </c>
      <c r="AJ6" s="122">
        <v>248.70000000000005</v>
      </c>
      <c r="AK6" s="75">
        <f>SUM(AG6:AJ6)</f>
        <v>867.1</v>
      </c>
      <c r="AM6" s="31">
        <v>252.2</v>
      </c>
      <c r="AN6" s="31"/>
      <c r="AO6" s="31"/>
      <c r="AP6" s="122"/>
      <c r="AQ6" s="75"/>
    </row>
    <row r="7" spans="1:43" ht="12.75" customHeight="1" x14ac:dyDescent="0.2">
      <c r="A7" s="2" t="s">
        <v>183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>
        <v>179.5</v>
      </c>
      <c r="W7" s="31">
        <v>168.6</v>
      </c>
      <c r="X7" s="122">
        <v>148.69999999999999</v>
      </c>
      <c r="Y7" s="75">
        <f>SUM(U7:X7)</f>
        <v>653.59999999999991</v>
      </c>
      <c r="AA7" s="31">
        <v>184.2</v>
      </c>
      <c r="AB7" s="31">
        <v>249.2</v>
      </c>
      <c r="AC7" s="31">
        <v>232.7</v>
      </c>
      <c r="AD7" s="122">
        <v>233.9</v>
      </c>
      <c r="AE7" s="75">
        <f>SUM(AA7:AD7)</f>
        <v>899.99999999999989</v>
      </c>
      <c r="AG7" s="31">
        <v>277.3</v>
      </c>
      <c r="AH7" s="31">
        <v>309.5</v>
      </c>
      <c r="AI7" s="31">
        <v>235.6</v>
      </c>
      <c r="AJ7" s="122">
        <v>244.3</v>
      </c>
      <c r="AK7" s="75">
        <f>SUM(AG7:AJ7)</f>
        <v>1066.7</v>
      </c>
      <c r="AM7" s="31">
        <v>294.60000000000002</v>
      </c>
      <c r="AN7" s="31"/>
      <c r="AO7" s="31"/>
      <c r="AP7" s="122"/>
      <c r="AQ7" s="75"/>
    </row>
    <row r="8" spans="1:43" ht="12.75" customHeight="1" x14ac:dyDescent="0.2">
      <c r="A8" s="2" t="s">
        <v>184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>
        <v>36.200000000000003</v>
      </c>
      <c r="W8" s="31">
        <v>38.200000000000003</v>
      </c>
      <c r="X8" s="122">
        <v>38.6</v>
      </c>
      <c r="Y8" s="75">
        <f>SUM(U8:X8)</f>
        <v>141.4</v>
      </c>
      <c r="AA8" s="31">
        <v>46.1</v>
      </c>
      <c r="AB8" s="31">
        <v>65.3</v>
      </c>
      <c r="AC8" s="31">
        <v>45.6</v>
      </c>
      <c r="AD8" s="122">
        <v>49</v>
      </c>
      <c r="AE8" s="75">
        <f>SUM(AA8:AD8)</f>
        <v>206</v>
      </c>
      <c r="AG8" s="31">
        <v>43.8</v>
      </c>
      <c r="AH8" s="31">
        <v>47.2</v>
      </c>
      <c r="AI8" s="31">
        <v>56.1</v>
      </c>
      <c r="AJ8" s="122">
        <v>46.2</v>
      </c>
      <c r="AK8" s="75">
        <f>SUM(AG8:AJ8)</f>
        <v>193.3</v>
      </c>
      <c r="AM8" s="31">
        <v>47.5</v>
      </c>
      <c r="AN8" s="31"/>
      <c r="AO8" s="31"/>
      <c r="AP8" s="122"/>
      <c r="AQ8" s="75"/>
    </row>
    <row r="9" spans="1:43" ht="12.75" customHeight="1" x14ac:dyDescent="0.2">
      <c r="A9" s="162" t="s">
        <v>185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>
        <v>-8</v>
      </c>
      <c r="W9" s="127">
        <v>-10.8</v>
      </c>
      <c r="X9" s="130">
        <v>-15.8</v>
      </c>
      <c r="Y9" s="88">
        <f>SUM(U9:X9)</f>
        <v>-45.1</v>
      </c>
      <c r="AA9" s="127">
        <v>-6.8</v>
      </c>
      <c r="AB9" s="127">
        <v>-7.4</v>
      </c>
      <c r="AC9" s="127">
        <v>-8.8000000000000007</v>
      </c>
      <c r="AD9" s="130">
        <v>-10.3</v>
      </c>
      <c r="AE9" s="88">
        <f>SUM(AA9:AD9)</f>
        <v>-33.299999999999997</v>
      </c>
      <c r="AG9" s="127">
        <v>-5.8</v>
      </c>
      <c r="AH9" s="127">
        <v>-8.9</v>
      </c>
      <c r="AI9" s="127">
        <v>-13.7</v>
      </c>
      <c r="AJ9" s="130">
        <v>-19.7</v>
      </c>
      <c r="AK9" s="88">
        <f>SUM(AG9:AJ9)</f>
        <v>-48.099999999999994</v>
      </c>
      <c r="AM9" s="127">
        <v>-4.8</v>
      </c>
      <c r="AN9" s="127"/>
      <c r="AO9" s="127"/>
      <c r="AP9" s="130"/>
      <c r="AQ9" s="88"/>
    </row>
    <row r="10" spans="1:43" s="53" customFormat="1" ht="12.75" customHeight="1" x14ac:dyDescent="0.2">
      <c r="A10" s="48" t="s">
        <v>143</v>
      </c>
      <c r="C10" s="79">
        <f>+SUM(C6:C9)</f>
        <v>273.8</v>
      </c>
      <c r="D10" s="79">
        <f t="shared" ref="D10:F10" si="3">+SUM(D6:D9)</f>
        <v>390.3</v>
      </c>
      <c r="E10" s="79">
        <f t="shared" si="3"/>
        <v>396.6</v>
      </c>
      <c r="F10" s="132">
        <f t="shared" si="3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4">+SUM(J6:J9)</f>
        <v>407.20000000000005</v>
      </c>
      <c r="K10" s="79">
        <f t="shared" ref="K10" si="5">+SUM(K6:K9)</f>
        <v>366.99999999999994</v>
      </c>
      <c r="L10" s="132">
        <f t="shared" ref="L10" si="6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7">+SUM(P6:P9)</f>
        <v>337.80000000000007</v>
      </c>
      <c r="Q10" s="79">
        <f t="shared" ref="Q10" si="8">+SUM(Q6:Q9)</f>
        <v>308.60000000000002</v>
      </c>
      <c r="R10" s="132">
        <f t="shared" ref="R10" si="9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>
        <f>+SUM(V6:V9)</f>
        <v>359.2</v>
      </c>
      <c r="W10" s="79">
        <f>+SUM(W6:W9)</f>
        <v>376.59999999999997</v>
      </c>
      <c r="X10" s="79">
        <f>+SUM(X6:X9)</f>
        <v>348.3</v>
      </c>
      <c r="Y10" s="80">
        <f>+SUM(Y6:Y9)</f>
        <v>1402.5</v>
      </c>
      <c r="AA10" s="79">
        <f>+SUM(AA6:AA9)</f>
        <v>414</v>
      </c>
      <c r="AB10" s="79">
        <f t="shared" ref="AB10:AD10" si="10">+SUM(AB6:AB9)</f>
        <v>498.00000000000006</v>
      </c>
      <c r="AC10" s="79">
        <f t="shared" si="10"/>
        <v>479.7</v>
      </c>
      <c r="AD10" s="79">
        <f t="shared" si="10"/>
        <v>436.2</v>
      </c>
      <c r="AE10" s="80">
        <f>+SUM(AE6:AE9)</f>
        <v>1827.8999999999999</v>
      </c>
      <c r="AG10" s="79">
        <f>+SUM(AG6:AG9)</f>
        <v>489.5</v>
      </c>
      <c r="AH10" s="79">
        <f t="shared" ref="AH10:AJ10" si="11">+SUM(AH6:AH9)</f>
        <v>578.00000000000011</v>
      </c>
      <c r="AI10" s="79">
        <f t="shared" si="11"/>
        <v>492.00000000000006</v>
      </c>
      <c r="AJ10" s="79">
        <f t="shared" si="11"/>
        <v>519.5</v>
      </c>
      <c r="AK10" s="80">
        <f>+SUM(AK6:AK9)</f>
        <v>2079.0000000000005</v>
      </c>
      <c r="AM10" s="79">
        <f>+SUM(AM6:AM9)</f>
        <v>589.5</v>
      </c>
      <c r="AN10" s="79"/>
      <c r="AO10" s="79"/>
      <c r="AP10" s="79"/>
      <c r="AQ10" s="80"/>
    </row>
    <row r="11" spans="1:43" ht="12.75" customHeight="1" x14ac:dyDescent="0.2">
      <c r="A11" s="2" t="s">
        <v>142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2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3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4">SUM(O11:R11)</f>
        <v>74.599999999999994</v>
      </c>
      <c r="U11" s="31">
        <v>12.7</v>
      </c>
      <c r="V11" s="31">
        <v>14.6</v>
      </c>
      <c r="W11" s="31">
        <v>16.7</v>
      </c>
      <c r="X11" s="122">
        <v>25.9</v>
      </c>
      <c r="Y11" s="75">
        <f t="shared" ref="Y11:Y12" si="15">SUM(U11:X11)</f>
        <v>69.900000000000006</v>
      </c>
      <c r="AA11" s="31">
        <v>15.7</v>
      </c>
      <c r="AB11" s="31">
        <v>18.3</v>
      </c>
      <c r="AC11" s="31">
        <v>18.5</v>
      </c>
      <c r="AD11" s="122">
        <v>27.6</v>
      </c>
      <c r="AE11" s="75">
        <f t="shared" ref="AE11:AE12" si="16">SUM(AA11:AD11)</f>
        <v>80.099999999999994</v>
      </c>
      <c r="AG11" s="31">
        <v>16.100000000000001</v>
      </c>
      <c r="AH11" s="281"/>
      <c r="AI11" s="281"/>
      <c r="AJ11" s="284"/>
      <c r="AK11" s="285"/>
      <c r="AM11" s="281"/>
      <c r="AN11" s="31"/>
      <c r="AO11" s="31"/>
      <c r="AP11" s="31"/>
      <c r="AQ11" s="174"/>
    </row>
    <row r="12" spans="1:43" ht="12.75" customHeight="1" x14ac:dyDescent="0.2">
      <c r="A12" s="2" t="s">
        <v>185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2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3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4"/>
        <v>-0.4</v>
      </c>
      <c r="U12" s="31">
        <v>0</v>
      </c>
      <c r="V12" s="31">
        <v>-1.4</v>
      </c>
      <c r="W12" s="31">
        <v>-0.2</v>
      </c>
      <c r="X12" s="122">
        <v>-0.6</v>
      </c>
      <c r="Y12" s="75">
        <f t="shared" si="15"/>
        <v>-2.1999999999999997</v>
      </c>
      <c r="AA12" s="31">
        <v>-0.1</v>
      </c>
      <c r="AB12" s="31">
        <v>-0.7</v>
      </c>
      <c r="AC12" s="31">
        <v>0</v>
      </c>
      <c r="AD12" s="122">
        <v>-0.5</v>
      </c>
      <c r="AE12" s="75">
        <f t="shared" si="16"/>
        <v>-1.2999999999999998</v>
      </c>
      <c r="AG12" s="31">
        <v>0</v>
      </c>
      <c r="AH12" s="281"/>
      <c r="AI12" s="281"/>
      <c r="AJ12" s="284"/>
      <c r="AK12" s="285"/>
      <c r="AM12" s="281"/>
      <c r="AN12" s="31"/>
      <c r="AO12" s="31"/>
      <c r="AP12" s="31"/>
      <c r="AQ12" s="174"/>
    </row>
    <row r="13" spans="1:43" s="53" customFormat="1" ht="12.75" customHeight="1" x14ac:dyDescent="0.2">
      <c r="A13" s="48" t="s">
        <v>152</v>
      </c>
      <c r="C13" s="79">
        <f>+SUM(C10:C12)</f>
        <v>281.3</v>
      </c>
      <c r="D13" s="79">
        <f t="shared" ref="D13:G13" si="17">+SUM(D10:D12)</f>
        <v>401.5</v>
      </c>
      <c r="E13" s="79">
        <f t="shared" si="17"/>
        <v>407.8</v>
      </c>
      <c r="F13" s="132">
        <f t="shared" si="17"/>
        <v>388.70000000000005</v>
      </c>
      <c r="G13" s="80">
        <f t="shared" si="17"/>
        <v>1479.3000000000002</v>
      </c>
      <c r="H13" s="82"/>
      <c r="I13" s="79">
        <f t="shared" ref="I13:M13" si="18">+SUM(I10:I12)</f>
        <v>363.5</v>
      </c>
      <c r="J13" s="79">
        <f t="shared" si="18"/>
        <v>424.70000000000005</v>
      </c>
      <c r="K13" s="79">
        <f t="shared" si="18"/>
        <v>381.79999999999995</v>
      </c>
      <c r="L13" s="132">
        <f t="shared" si="18"/>
        <v>331.59999999999991</v>
      </c>
      <c r="M13" s="80">
        <f t="shared" si="18"/>
        <v>1501.6000000000001</v>
      </c>
      <c r="N13" s="82"/>
      <c r="O13" s="79">
        <f t="shared" ref="O13:R13" si="19">+SUM(O10:O12)</f>
        <v>294.29999999999995</v>
      </c>
      <c r="P13" s="79">
        <f t="shared" si="19"/>
        <v>355.40000000000003</v>
      </c>
      <c r="Q13" s="79">
        <f t="shared" si="19"/>
        <v>325.3</v>
      </c>
      <c r="R13" s="132">
        <f t="shared" si="19"/>
        <v>367.39999999999992</v>
      </c>
      <c r="S13" s="80">
        <f>+SUM(S10:S12)</f>
        <v>1342.3999999999996</v>
      </c>
      <c r="U13" s="79">
        <f t="shared" ref="U13:Y13" si="20">+SUM(U10:U12)</f>
        <v>331.09999999999997</v>
      </c>
      <c r="V13" s="79">
        <f t="shared" si="20"/>
        <v>372.40000000000003</v>
      </c>
      <c r="W13" s="79">
        <f t="shared" si="20"/>
        <v>393.09999999999997</v>
      </c>
      <c r="X13" s="79">
        <f t="shared" si="20"/>
        <v>373.59999999999997</v>
      </c>
      <c r="Y13" s="80">
        <f t="shared" si="20"/>
        <v>1470.2</v>
      </c>
      <c r="AA13" s="79">
        <f t="shared" ref="AA13:AE13" si="21">+SUM(AA10:AA12)</f>
        <v>429.59999999999997</v>
      </c>
      <c r="AB13" s="79">
        <f t="shared" ref="AB13:AD13" si="22">+SUM(AB10:AB12)</f>
        <v>515.6</v>
      </c>
      <c r="AC13" s="79">
        <f t="shared" si="22"/>
        <v>498.2</v>
      </c>
      <c r="AD13" s="79">
        <f t="shared" si="22"/>
        <v>463.3</v>
      </c>
      <c r="AE13" s="80">
        <f t="shared" si="21"/>
        <v>1906.6999999999998</v>
      </c>
      <c r="AG13" s="79">
        <f t="shared" ref="AG13:AK13" si="23">+SUM(AG10:AG12)</f>
        <v>505.6</v>
      </c>
      <c r="AH13" s="281">
        <f t="shared" si="23"/>
        <v>578.00000000000011</v>
      </c>
      <c r="AI13" s="281">
        <f t="shared" si="23"/>
        <v>492.00000000000006</v>
      </c>
      <c r="AJ13" s="284">
        <f t="shared" si="23"/>
        <v>519.5</v>
      </c>
      <c r="AK13" s="285">
        <f t="shared" si="23"/>
        <v>2079.0000000000005</v>
      </c>
      <c r="AM13" s="281"/>
      <c r="AN13" s="79"/>
      <c r="AO13" s="79"/>
      <c r="AP13" s="79"/>
      <c r="AQ13" s="80"/>
    </row>
    <row r="14" spans="1:43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  <c r="AA14" s="133"/>
      <c r="AB14" s="133"/>
      <c r="AC14" s="133"/>
      <c r="AD14" s="134"/>
      <c r="AE14" s="126"/>
      <c r="AG14" s="133"/>
      <c r="AH14" s="133"/>
      <c r="AI14" s="133"/>
      <c r="AJ14" s="134"/>
      <c r="AK14" s="126"/>
      <c r="AM14" s="133"/>
      <c r="AN14" s="133"/>
      <c r="AO14" s="133"/>
      <c r="AP14" s="134"/>
      <c r="AQ14" s="126"/>
    </row>
    <row r="15" spans="1:43" ht="12.75" customHeight="1" x14ac:dyDescent="0.2">
      <c r="A15" s="5" t="s">
        <v>195</v>
      </c>
      <c r="G15" s="36"/>
      <c r="H15" s="31"/>
      <c r="M15" s="36"/>
      <c r="N15" s="31"/>
      <c r="S15" s="36"/>
      <c r="Y15" s="36"/>
      <c r="AE15" s="36"/>
      <c r="AK15" s="36"/>
      <c r="AQ15" s="36"/>
    </row>
    <row r="16" spans="1:43" ht="12.75" customHeight="1" x14ac:dyDescent="0.2">
      <c r="A16" s="2" t="s">
        <v>182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>
        <v>134.69999999999999</v>
      </c>
      <c r="W16" s="31">
        <v>165</v>
      </c>
      <c r="X16" s="122">
        <v>155.19999999999999</v>
      </c>
      <c r="Y16" s="75">
        <f>SUM(U16:X16)</f>
        <v>578.5</v>
      </c>
      <c r="AA16" s="31">
        <v>160.5</v>
      </c>
      <c r="AB16" s="31">
        <v>162.69999999999999</v>
      </c>
      <c r="AC16" s="31">
        <v>178.1</v>
      </c>
      <c r="AD16" s="122">
        <v>138.80000000000001</v>
      </c>
      <c r="AE16" s="75">
        <f>SUM(AA16:AD16)</f>
        <v>640.09999999999991</v>
      </c>
      <c r="AG16" s="31">
        <v>150.9</v>
      </c>
      <c r="AH16" s="31">
        <v>195.9</v>
      </c>
      <c r="AI16" s="31">
        <v>185.9</v>
      </c>
      <c r="AJ16" s="122">
        <v>216.8</v>
      </c>
      <c r="AK16" s="75">
        <f>SUM(AG16:AJ16)</f>
        <v>749.5</v>
      </c>
      <c r="AM16" s="31">
        <v>215</v>
      </c>
      <c r="AN16" s="31"/>
      <c r="AO16" s="31"/>
      <c r="AP16" s="122"/>
      <c r="AQ16" s="75"/>
    </row>
    <row r="17" spans="1:43" ht="12.75" customHeight="1" x14ac:dyDescent="0.2">
      <c r="A17" s="2" t="s">
        <v>183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24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25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6">SUM(O17:R17)</f>
        <v>389.10000000000008</v>
      </c>
      <c r="U17" s="31">
        <v>94.1</v>
      </c>
      <c r="V17" s="31">
        <v>113.5</v>
      </c>
      <c r="W17" s="31">
        <v>102.5</v>
      </c>
      <c r="X17" s="122">
        <v>83.6</v>
      </c>
      <c r="Y17" s="75">
        <f t="shared" ref="Y17:Y19" si="27">SUM(U17:X17)</f>
        <v>393.70000000000005</v>
      </c>
      <c r="AA17" s="31">
        <v>95.8</v>
      </c>
      <c r="AB17" s="31">
        <v>123.6</v>
      </c>
      <c r="AC17" s="31">
        <v>118.4</v>
      </c>
      <c r="AD17" s="122">
        <v>112.4</v>
      </c>
      <c r="AE17" s="75">
        <f t="shared" ref="AE17:AE19" si="28">SUM(AA17:AD17)</f>
        <v>450.19999999999993</v>
      </c>
      <c r="AG17" s="31">
        <v>131.1</v>
      </c>
      <c r="AH17" s="31">
        <v>147.9</v>
      </c>
      <c r="AI17" s="31">
        <v>129</v>
      </c>
      <c r="AJ17" s="122">
        <v>144</v>
      </c>
      <c r="AK17" s="75">
        <f t="shared" ref="AK17:AK19" si="29">SUM(AG17:AJ17)</f>
        <v>552</v>
      </c>
      <c r="AM17" s="31">
        <v>164</v>
      </c>
      <c r="AN17" s="31"/>
      <c r="AO17" s="31"/>
      <c r="AP17" s="122"/>
      <c r="AQ17" s="75"/>
    </row>
    <row r="18" spans="1:43" ht="12.75" customHeight="1" x14ac:dyDescent="0.2">
      <c r="A18" s="2" t="s">
        <v>184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24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25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6"/>
        <v>116.69999999999999</v>
      </c>
      <c r="U18" s="31">
        <v>28.4</v>
      </c>
      <c r="V18" s="31">
        <v>36.200000000000003</v>
      </c>
      <c r="W18" s="31">
        <v>38.200000000000003</v>
      </c>
      <c r="X18" s="122">
        <v>38.5</v>
      </c>
      <c r="Y18" s="75">
        <f t="shared" si="27"/>
        <v>141.30000000000001</v>
      </c>
      <c r="AA18" s="31">
        <v>46.1</v>
      </c>
      <c r="AB18" s="31">
        <v>65.2</v>
      </c>
      <c r="AC18" s="31">
        <v>45.5</v>
      </c>
      <c r="AD18" s="122">
        <v>49</v>
      </c>
      <c r="AE18" s="75">
        <f t="shared" si="28"/>
        <v>205.8</v>
      </c>
      <c r="AG18" s="31">
        <v>43.6</v>
      </c>
      <c r="AH18" s="31">
        <v>47.2</v>
      </c>
      <c r="AI18" s="31">
        <v>56.3</v>
      </c>
      <c r="AJ18" s="122">
        <v>46.1</v>
      </c>
      <c r="AK18" s="75">
        <f t="shared" si="29"/>
        <v>193.20000000000002</v>
      </c>
      <c r="AM18" s="31">
        <v>47.5</v>
      </c>
      <c r="AN18" s="31"/>
      <c r="AO18" s="31"/>
      <c r="AP18" s="122"/>
      <c r="AQ18" s="75"/>
    </row>
    <row r="19" spans="1:43" ht="12.75" customHeight="1" x14ac:dyDescent="0.2">
      <c r="A19" s="47" t="s">
        <v>185</v>
      </c>
      <c r="B19" s="47"/>
      <c r="C19" s="77">
        <v>-3.6</v>
      </c>
      <c r="D19" s="77">
        <v>-1.2</v>
      </c>
      <c r="E19" s="77">
        <v>-7.1</v>
      </c>
      <c r="F19" s="238">
        <v>-7.7</v>
      </c>
      <c r="G19" s="78">
        <f t="shared" si="24"/>
        <v>-19.599999999999998</v>
      </c>
      <c r="H19" s="31"/>
      <c r="I19" s="77">
        <v>-6.9</v>
      </c>
      <c r="J19" s="77">
        <v>-6.7</v>
      </c>
      <c r="K19" s="77">
        <v>-7.3</v>
      </c>
      <c r="L19" s="238">
        <v>-6.799999999999998</v>
      </c>
      <c r="M19" s="78">
        <f t="shared" si="25"/>
        <v>-27.7</v>
      </c>
      <c r="N19" s="31"/>
      <c r="O19" s="77">
        <v>-3.6</v>
      </c>
      <c r="P19" s="77">
        <v>-4.5</v>
      </c>
      <c r="Q19" s="77">
        <v>-4.9000000000000004</v>
      </c>
      <c r="R19" s="238">
        <v>-3.3999999999999986</v>
      </c>
      <c r="S19" s="78">
        <f t="shared" si="26"/>
        <v>-16.399999999999999</v>
      </c>
      <c r="U19" s="77">
        <v>-5.8</v>
      </c>
      <c r="V19" s="77">
        <v>-6.6</v>
      </c>
      <c r="W19" s="77">
        <v>-5.5</v>
      </c>
      <c r="X19" s="238">
        <v>-8.6</v>
      </c>
      <c r="Y19" s="78">
        <f t="shared" si="27"/>
        <v>-26.5</v>
      </c>
      <c r="AA19" s="77">
        <v>-6.4</v>
      </c>
      <c r="AB19" s="77">
        <v>-7.3</v>
      </c>
      <c r="AC19" s="77">
        <v>-8.8000000000000007</v>
      </c>
      <c r="AD19" s="238">
        <v>-10.5</v>
      </c>
      <c r="AE19" s="78">
        <f t="shared" si="28"/>
        <v>-33</v>
      </c>
      <c r="AG19" s="77">
        <v>-6.4</v>
      </c>
      <c r="AH19" s="77">
        <v>-9.9</v>
      </c>
      <c r="AI19" s="77">
        <v>-13.5</v>
      </c>
      <c r="AJ19" s="238">
        <v>-18.100000000000001</v>
      </c>
      <c r="AK19" s="78">
        <f t="shared" si="29"/>
        <v>-47.900000000000006</v>
      </c>
      <c r="AM19" s="77">
        <v>-4.8</v>
      </c>
      <c r="AN19" s="77"/>
      <c r="AO19" s="77"/>
      <c r="AP19" s="238"/>
      <c r="AQ19" s="78"/>
    </row>
    <row r="20" spans="1:43" s="53" customFormat="1" ht="12.75" customHeight="1" x14ac:dyDescent="0.2">
      <c r="A20" s="48" t="s">
        <v>143</v>
      </c>
      <c r="C20" s="79">
        <f>+SUM(C16:C19)</f>
        <v>185.20000000000002</v>
      </c>
      <c r="D20" s="79">
        <f t="shared" ref="D20" si="30">+SUM(D16:D19)</f>
        <v>288.09999999999997</v>
      </c>
      <c r="E20" s="79">
        <f t="shared" ref="E20" si="31">+SUM(E16:E19)</f>
        <v>303.2</v>
      </c>
      <c r="F20" s="132">
        <f t="shared" ref="F20" si="32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33">+SUM(J16:J19)</f>
        <v>306.40000000000003</v>
      </c>
      <c r="K20" s="79">
        <f t="shared" ref="K20" si="34">+SUM(K16:K19)</f>
        <v>286.90000000000003</v>
      </c>
      <c r="L20" s="132">
        <f t="shared" ref="L20" si="35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36">+SUM(P16:P19)</f>
        <v>245</v>
      </c>
      <c r="Q20" s="79">
        <f t="shared" ref="Q20" si="37">+SUM(Q16:Q19)</f>
        <v>232.39999999999998</v>
      </c>
      <c r="R20" s="132">
        <f t="shared" ref="R20" si="38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>
        <f>+SUM(V16:V19)</f>
        <v>277.79999999999995</v>
      </c>
      <c r="W20" s="79">
        <f>+SUM(W16:W19)</f>
        <v>300.2</v>
      </c>
      <c r="X20" s="79">
        <f>+SUM(X16:X19)</f>
        <v>268.69999999999993</v>
      </c>
      <c r="Y20" s="80">
        <f>+SUM(Y16:Y19)</f>
        <v>1087</v>
      </c>
      <c r="AA20" s="79">
        <f>+SUM(AA16:AA19)</f>
        <v>296.00000000000006</v>
      </c>
      <c r="AB20" s="79">
        <f t="shared" ref="AB20:AD20" si="39">+SUM(AB16:AB19)</f>
        <v>344.19999999999993</v>
      </c>
      <c r="AC20" s="79">
        <f t="shared" si="39"/>
        <v>333.2</v>
      </c>
      <c r="AD20" s="79">
        <f t="shared" si="39"/>
        <v>289.70000000000005</v>
      </c>
      <c r="AE20" s="80">
        <f>+SUM(AE16:AE19)</f>
        <v>1263.0999999999997</v>
      </c>
      <c r="AG20" s="79">
        <f>+SUM(AG16:AG19)</f>
        <v>319.20000000000005</v>
      </c>
      <c r="AH20" s="79">
        <f t="shared" ref="AH20:AJ20" si="40">+SUM(AH16:AH19)</f>
        <v>381.1</v>
      </c>
      <c r="AI20" s="79">
        <f t="shared" si="40"/>
        <v>357.7</v>
      </c>
      <c r="AJ20" s="79">
        <f t="shared" si="40"/>
        <v>388.8</v>
      </c>
      <c r="AK20" s="80">
        <f>+SUM(AK16:AK19)</f>
        <v>1446.8</v>
      </c>
      <c r="AM20" s="79">
        <f>+SUM(AM16:AM19)</f>
        <v>421.7</v>
      </c>
      <c r="AN20" s="79"/>
      <c r="AO20" s="79"/>
      <c r="AP20" s="79"/>
      <c r="AQ20" s="80"/>
    </row>
    <row r="21" spans="1:43" s="239" customFormat="1" ht="12.75" customHeight="1" x14ac:dyDescent="0.2">
      <c r="A21" s="162" t="s">
        <v>142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41">SUM(C21:F21)</f>
        <v>50.9</v>
      </c>
      <c r="H21" s="242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42">SUM(I21:L21)</f>
        <v>67.7</v>
      </c>
      <c r="N21" s="242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43">SUM(O21:R21)</f>
        <v>74.599999999999994</v>
      </c>
      <c r="U21" s="127">
        <v>12.7</v>
      </c>
      <c r="V21" s="127">
        <v>14.6</v>
      </c>
      <c r="W21" s="127">
        <v>16.7</v>
      </c>
      <c r="X21" s="130">
        <v>25.9</v>
      </c>
      <c r="Y21" s="88">
        <f t="shared" ref="Y21:Y22" si="44">SUM(U21:X21)</f>
        <v>69.900000000000006</v>
      </c>
      <c r="AA21" s="127">
        <v>15.7</v>
      </c>
      <c r="AB21" s="127">
        <v>18.3</v>
      </c>
      <c r="AC21" s="127">
        <v>18.5</v>
      </c>
      <c r="AD21" s="130">
        <v>27.6</v>
      </c>
      <c r="AE21" s="88">
        <f t="shared" ref="AE21:AE22" si="45">SUM(AA21:AD21)</f>
        <v>80.099999999999994</v>
      </c>
      <c r="AG21" s="127">
        <v>16.100000000000001</v>
      </c>
      <c r="AH21" s="286"/>
      <c r="AI21" s="286"/>
      <c r="AJ21" s="287"/>
      <c r="AK21" s="288"/>
      <c r="AM21" s="287"/>
      <c r="AN21" s="127"/>
      <c r="AO21" s="127"/>
      <c r="AP21" s="127"/>
      <c r="AQ21" s="75"/>
    </row>
    <row r="22" spans="1:43" s="162" customFormat="1" ht="12.75" customHeight="1" x14ac:dyDescent="0.2">
      <c r="A22" s="2" t="s">
        <v>185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41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42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43"/>
        <v>-0.3</v>
      </c>
      <c r="U22" s="31">
        <v>0</v>
      </c>
      <c r="V22" s="31">
        <v>-1.4</v>
      </c>
      <c r="W22" s="31">
        <v>-0.2</v>
      </c>
      <c r="X22" s="122">
        <v>-0.6</v>
      </c>
      <c r="Y22" s="75">
        <f t="shared" si="44"/>
        <v>-2.1999999999999997</v>
      </c>
      <c r="AA22" s="31">
        <v>-0.1</v>
      </c>
      <c r="AB22" s="31">
        <v>-0.7</v>
      </c>
      <c r="AC22" s="31">
        <v>0</v>
      </c>
      <c r="AD22" s="122">
        <v>-0.5</v>
      </c>
      <c r="AE22" s="75">
        <f t="shared" si="45"/>
        <v>-1.2999999999999998</v>
      </c>
      <c r="AG22" s="31">
        <v>0</v>
      </c>
      <c r="AH22" s="281"/>
      <c r="AI22" s="281"/>
      <c r="AJ22" s="284"/>
      <c r="AK22" s="285"/>
      <c r="AM22" s="284"/>
      <c r="AN22" s="31"/>
      <c r="AO22" s="31"/>
      <c r="AP22" s="31"/>
      <c r="AQ22" s="78"/>
    </row>
    <row r="23" spans="1:43" s="53" customFormat="1" ht="12.75" customHeight="1" x14ac:dyDescent="0.2">
      <c r="A23" s="48" t="s">
        <v>152</v>
      </c>
      <c r="C23" s="79">
        <f>+SUM(C20:C22)</f>
        <v>192.70000000000002</v>
      </c>
      <c r="D23" s="79">
        <f t="shared" ref="D23" si="46">+SUM(D20:D22)</f>
        <v>299.29999999999995</v>
      </c>
      <c r="E23" s="79">
        <f t="shared" ref="E23" si="47">+SUM(E20:E22)</f>
        <v>314.39999999999998</v>
      </c>
      <c r="F23" s="132">
        <f t="shared" ref="F23" si="48">+SUM(F20:F22)</f>
        <v>302.00000000000006</v>
      </c>
      <c r="G23" s="80">
        <f t="shared" ref="G23" si="49">+SUM(G20:G22)</f>
        <v>1108.4000000000001</v>
      </c>
      <c r="H23" s="82"/>
      <c r="I23" s="79">
        <f t="shared" ref="I23" si="50">+SUM(I20:I22)</f>
        <v>266.89999999999998</v>
      </c>
      <c r="J23" s="79">
        <f t="shared" ref="J23" si="51">+SUM(J20:J22)</f>
        <v>324.00000000000006</v>
      </c>
      <c r="K23" s="79">
        <f t="shared" ref="K23" si="52">+SUM(K20:K22)</f>
        <v>301.60000000000002</v>
      </c>
      <c r="L23" s="132">
        <f t="shared" ref="L23" si="53">+SUM(L20:L22)</f>
        <v>254.60000000000002</v>
      </c>
      <c r="M23" s="80">
        <f t="shared" ref="M23" si="54">+SUM(M20:M22)</f>
        <v>1147.0999999999999</v>
      </c>
      <c r="N23" s="82"/>
      <c r="O23" s="79">
        <f t="shared" ref="O23" si="55">+SUM(O20:O22)</f>
        <v>219.9</v>
      </c>
      <c r="P23" s="79">
        <f t="shared" ref="P23" si="56">+SUM(P20:P22)</f>
        <v>262.59999999999997</v>
      </c>
      <c r="Q23" s="79">
        <f t="shared" ref="Q23" si="57">+SUM(Q20:Q22)</f>
        <v>249.09999999999997</v>
      </c>
      <c r="R23" s="132">
        <f t="shared" ref="R23" si="58">+SUM(R20:R22)</f>
        <v>287.70000000000005</v>
      </c>
      <c r="S23" s="80">
        <f>+SUM(S20:S22)</f>
        <v>1019.3000000000002</v>
      </c>
      <c r="U23" s="79">
        <f t="shared" ref="U23:X23" si="59">+SUM(U20:U22)</f>
        <v>252.99999999999997</v>
      </c>
      <c r="V23" s="79">
        <f t="shared" si="59"/>
        <v>291</v>
      </c>
      <c r="W23" s="79">
        <f t="shared" si="59"/>
        <v>316.7</v>
      </c>
      <c r="X23" s="79">
        <f t="shared" si="59"/>
        <v>293.99999999999989</v>
      </c>
      <c r="Y23" s="80">
        <f t="shared" ref="Y23" si="60">+SUM(Y20:Y22)</f>
        <v>1154.7</v>
      </c>
      <c r="AA23" s="79">
        <f t="shared" ref="AA23:AE23" si="61">+SUM(AA20:AA22)</f>
        <v>311.60000000000002</v>
      </c>
      <c r="AB23" s="79">
        <f t="shared" ref="AB23:AD23" si="62">+SUM(AB20:AB22)</f>
        <v>361.79999999999995</v>
      </c>
      <c r="AC23" s="79">
        <f t="shared" si="62"/>
        <v>351.7</v>
      </c>
      <c r="AD23" s="79">
        <f t="shared" si="62"/>
        <v>316.80000000000007</v>
      </c>
      <c r="AE23" s="80">
        <f t="shared" si="61"/>
        <v>1341.8999999999996</v>
      </c>
      <c r="AG23" s="79">
        <f t="shared" ref="AG23" si="63">+SUM(AG20:AG22)</f>
        <v>335.30000000000007</v>
      </c>
      <c r="AH23" s="282"/>
      <c r="AI23" s="282"/>
      <c r="AJ23" s="282"/>
      <c r="AK23" s="283"/>
      <c r="AM23" s="282"/>
      <c r="AN23" s="79"/>
      <c r="AO23" s="79"/>
      <c r="AP23" s="79"/>
      <c r="AQ23" s="80"/>
    </row>
    <row r="24" spans="1:43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  <c r="AA24" s="29"/>
      <c r="AB24" s="29"/>
      <c r="AC24" s="29"/>
      <c r="AD24" s="28"/>
      <c r="AE24" s="64"/>
      <c r="AG24" s="29"/>
      <c r="AH24" s="29"/>
      <c r="AI24" s="29"/>
      <c r="AJ24" s="28"/>
      <c r="AK24" s="64"/>
      <c r="AM24" s="29"/>
      <c r="AN24" s="29"/>
      <c r="AO24" s="29"/>
      <c r="AP24" s="28"/>
      <c r="AQ24" s="64"/>
    </row>
    <row r="25" spans="1:43" ht="12.75" customHeight="1" x14ac:dyDescent="0.2">
      <c r="A25" s="5" t="s">
        <v>186</v>
      </c>
      <c r="G25" s="36"/>
      <c r="M25" s="36"/>
      <c r="N25"/>
      <c r="S25" s="36"/>
      <c r="Y25" s="36"/>
      <c r="AE25" s="36"/>
      <c r="AK25" s="36"/>
      <c r="AQ25" s="36"/>
    </row>
    <row r="26" spans="1:43" ht="12.75" customHeight="1" x14ac:dyDescent="0.2">
      <c r="A26" s="2" t="s">
        <v>182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>
        <v>9.1</v>
      </c>
      <c r="W26" s="31">
        <v>12.3</v>
      </c>
      <c r="X26" s="122">
        <v>8.9</v>
      </c>
      <c r="Y26" s="75">
        <f>SUM(U26:X26)</f>
        <v>35.9</v>
      </c>
      <c r="AA26" s="31">
        <v>19.5</v>
      </c>
      <c r="AB26" s="31">
        <v>23</v>
      </c>
      <c r="AC26" s="31">
        <v>34.6</v>
      </c>
      <c r="AD26" s="122">
        <v>6</v>
      </c>
      <c r="AE26" s="75">
        <f>SUM(AA26:AD26)</f>
        <v>83.1</v>
      </c>
      <c r="AG26" s="31">
        <v>24.7</v>
      </c>
      <c r="AH26" s="31">
        <v>30</v>
      </c>
      <c r="AI26" s="31">
        <v>24</v>
      </c>
      <c r="AJ26" s="122">
        <v>27.2</v>
      </c>
      <c r="AK26" s="75">
        <f>SUM(AG26:AJ26)</f>
        <v>105.9</v>
      </c>
      <c r="AM26" s="31">
        <v>35.299999999999997</v>
      </c>
      <c r="AN26" s="31"/>
      <c r="AO26" s="31"/>
      <c r="AP26" s="122"/>
      <c r="AQ26" s="75"/>
    </row>
    <row r="27" spans="1:43" ht="12.75" customHeight="1" x14ac:dyDescent="0.2">
      <c r="A27" s="2" t="s">
        <v>183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64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65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66">SUM(O27:R27)</f>
        <v>0.30000000000000027</v>
      </c>
      <c r="U27" s="31">
        <v>3.5</v>
      </c>
      <c r="V27" s="31">
        <v>5.5</v>
      </c>
      <c r="W27" s="31">
        <v>5.0999999999999996</v>
      </c>
      <c r="X27" s="122">
        <v>0.4</v>
      </c>
      <c r="Y27" s="75">
        <f t="shared" ref="Y27:Y29" si="67">SUM(U27:X27)</f>
        <v>14.5</v>
      </c>
      <c r="AA27" s="31">
        <v>5.5</v>
      </c>
      <c r="AB27" s="31">
        <v>7.6</v>
      </c>
      <c r="AC27" s="31">
        <v>9</v>
      </c>
      <c r="AD27" s="122">
        <v>6.4</v>
      </c>
      <c r="AE27" s="75">
        <f t="shared" ref="AE27:AE29" si="68">SUM(AA27:AD27)</f>
        <v>28.5</v>
      </c>
      <c r="AG27" s="31">
        <v>10.4</v>
      </c>
      <c r="AH27" s="31">
        <v>7.2</v>
      </c>
      <c r="AI27" s="31">
        <v>2.4</v>
      </c>
      <c r="AJ27" s="122">
        <v>8.5</v>
      </c>
      <c r="AK27" s="75">
        <f t="shared" ref="AK27:AK29" si="69">SUM(AG27:AJ27)</f>
        <v>28.5</v>
      </c>
      <c r="AM27" s="31">
        <v>18</v>
      </c>
      <c r="AN27" s="31"/>
      <c r="AO27" s="31"/>
      <c r="AP27" s="122"/>
      <c r="AQ27" s="75"/>
    </row>
    <row r="28" spans="1:43" ht="12.75" customHeight="1" x14ac:dyDescent="0.2">
      <c r="A28" s="2" t="s">
        <v>184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64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65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66"/>
        <v>13.5</v>
      </c>
      <c r="U28" s="31">
        <v>2.9</v>
      </c>
      <c r="V28" s="31">
        <v>4.0999999999999996</v>
      </c>
      <c r="W28" s="31">
        <v>4.4000000000000004</v>
      </c>
      <c r="X28" s="122">
        <v>3.8</v>
      </c>
      <c r="Y28" s="75">
        <f t="shared" si="67"/>
        <v>15.2</v>
      </c>
      <c r="AA28" s="31">
        <v>7.9</v>
      </c>
      <c r="AB28" s="31">
        <v>14.5</v>
      </c>
      <c r="AC28" s="31">
        <v>4.5</v>
      </c>
      <c r="AD28" s="122">
        <v>5.9</v>
      </c>
      <c r="AE28" s="75">
        <f t="shared" si="68"/>
        <v>32.799999999999997</v>
      </c>
      <c r="AG28" s="31">
        <v>3.7</v>
      </c>
      <c r="AH28" s="31">
        <v>1.8</v>
      </c>
      <c r="AI28" s="31">
        <v>8.6999999999999993</v>
      </c>
      <c r="AJ28" s="122">
        <v>11.5</v>
      </c>
      <c r="AK28" s="75">
        <f t="shared" si="69"/>
        <v>25.7</v>
      </c>
      <c r="AM28" s="31">
        <v>3.9</v>
      </c>
      <c r="AN28" s="31"/>
      <c r="AO28" s="31"/>
      <c r="AP28" s="122"/>
      <c r="AQ28" s="75"/>
    </row>
    <row r="29" spans="1:43" ht="12.75" customHeight="1" x14ac:dyDescent="0.2">
      <c r="A29" s="47" t="s">
        <v>189</v>
      </c>
      <c r="B29" s="47"/>
      <c r="C29" s="77">
        <v>-1.5</v>
      </c>
      <c r="D29" s="77">
        <v>-1.5</v>
      </c>
      <c r="E29" s="77">
        <v>-0.4</v>
      </c>
      <c r="F29" s="238">
        <v>-3.5</v>
      </c>
      <c r="G29" s="78">
        <f t="shared" si="64"/>
        <v>-6.9</v>
      </c>
      <c r="H29" s="31"/>
      <c r="I29" s="77">
        <v>-3.6</v>
      </c>
      <c r="J29" s="77">
        <v>-2.2999999999999998</v>
      </c>
      <c r="K29" s="77">
        <v>-3.7</v>
      </c>
      <c r="L29" s="238">
        <v>-4.2000000000000011</v>
      </c>
      <c r="M29" s="78">
        <f t="shared" si="65"/>
        <v>-13.800000000000002</v>
      </c>
      <c r="N29" s="31"/>
      <c r="O29" s="77">
        <v>-5.2</v>
      </c>
      <c r="P29" s="77">
        <v>-1.5</v>
      </c>
      <c r="Q29" s="77">
        <v>-1.8</v>
      </c>
      <c r="R29" s="238">
        <v>-4.3000000000000007</v>
      </c>
      <c r="S29" s="78">
        <f t="shared" si="66"/>
        <v>-12.8</v>
      </c>
      <c r="U29" s="77">
        <v>-1.8</v>
      </c>
      <c r="V29" s="77">
        <v>-2.6999999999999993</v>
      </c>
      <c r="W29" s="77">
        <v>-0.4</v>
      </c>
      <c r="X29" s="238">
        <v>-4</v>
      </c>
      <c r="Y29" s="78">
        <f t="shared" si="67"/>
        <v>-8.8999999999999986</v>
      </c>
      <c r="AA29" s="77">
        <v>-2.7</v>
      </c>
      <c r="AB29" s="77">
        <v>-2.7</v>
      </c>
      <c r="AC29" s="77">
        <v>-3.3</v>
      </c>
      <c r="AD29" s="238">
        <v>-4.5999999999999996</v>
      </c>
      <c r="AE29" s="78">
        <f t="shared" si="68"/>
        <v>-13.299999999999999</v>
      </c>
      <c r="AG29" s="77">
        <v>-0.5</v>
      </c>
      <c r="AH29" s="77">
        <v>2.2999999999999998</v>
      </c>
      <c r="AI29" s="77">
        <v>0.1</v>
      </c>
      <c r="AJ29" s="238">
        <v>-7.5</v>
      </c>
      <c r="AK29" s="78">
        <f t="shared" si="69"/>
        <v>-5.6</v>
      </c>
      <c r="AM29" s="77">
        <v>-0.3</v>
      </c>
      <c r="AN29" s="77"/>
      <c r="AO29" s="77"/>
      <c r="AP29" s="238"/>
      <c r="AQ29" s="78"/>
    </row>
    <row r="30" spans="1:43" s="53" customFormat="1" ht="12.75" customHeight="1" x14ac:dyDescent="0.2">
      <c r="A30" s="48" t="s">
        <v>143</v>
      </c>
      <c r="C30" s="79">
        <f>+SUM(C26:C29)</f>
        <v>17.799999999999997</v>
      </c>
      <c r="D30" s="79">
        <f t="shared" ref="D30" si="70">+SUM(D26:D29)</f>
        <v>42.9</v>
      </c>
      <c r="E30" s="79">
        <f t="shared" ref="E30" si="71">+SUM(E26:E29)</f>
        <v>43.8</v>
      </c>
      <c r="F30" s="132">
        <f t="shared" ref="F30" si="72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73">+SUM(J26:J29)</f>
        <v>32.1</v>
      </c>
      <c r="K30" s="79">
        <f t="shared" ref="K30" si="74">+SUM(K26:K29)</f>
        <v>26.1</v>
      </c>
      <c r="L30" s="132">
        <f t="shared" ref="L30" si="75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76">+SUM(P26:P29)</f>
        <v>9.3999999999999986</v>
      </c>
      <c r="Q30" s="79">
        <f t="shared" ref="Q30" si="77">+SUM(Q26:Q29)</f>
        <v>6.8999999999999995</v>
      </c>
      <c r="R30" s="132">
        <f t="shared" ref="R30" si="78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>
        <f>+SUM(V26:V29)</f>
        <v>16</v>
      </c>
      <c r="W30" s="79">
        <f>+SUM(W26:W29)</f>
        <v>21.4</v>
      </c>
      <c r="X30" s="79">
        <f>+SUM(X26:X29)</f>
        <v>9.1000000000000014</v>
      </c>
      <c r="Y30" s="80">
        <f>+SUM(Y26:Y29)</f>
        <v>56.699999999999996</v>
      </c>
      <c r="AA30" s="79">
        <f>+SUM(AA26:AA29)</f>
        <v>30.2</v>
      </c>
      <c r="AB30" s="79">
        <f t="shared" ref="AB30:AD30" si="79">+SUM(AB26:AB29)</f>
        <v>42.4</v>
      </c>
      <c r="AC30" s="79">
        <f t="shared" si="79"/>
        <v>44.800000000000004</v>
      </c>
      <c r="AD30" s="79">
        <f t="shared" si="79"/>
        <v>13.700000000000001</v>
      </c>
      <c r="AE30" s="80">
        <f>+SUM(AE26:AE29)</f>
        <v>131.09999999999997</v>
      </c>
      <c r="AG30" s="79">
        <f>+SUM(AG26:AG29)</f>
        <v>38.300000000000004</v>
      </c>
      <c r="AH30" s="79">
        <f t="shared" ref="AH30:AJ30" si="80">+SUM(AH26:AH29)</f>
        <v>41.3</v>
      </c>
      <c r="AI30" s="79">
        <f t="shared" si="80"/>
        <v>35.199999999999996</v>
      </c>
      <c r="AJ30" s="79">
        <f t="shared" si="80"/>
        <v>39.700000000000003</v>
      </c>
      <c r="AK30" s="80">
        <f>+SUM(AK26:AK29)</f>
        <v>154.5</v>
      </c>
      <c r="AM30" s="79">
        <f>+SUM(AM26:AM29)</f>
        <v>56.9</v>
      </c>
      <c r="AN30" s="79"/>
      <c r="AO30" s="79"/>
      <c r="AP30" s="79"/>
      <c r="AQ30" s="80"/>
    </row>
    <row r="31" spans="1:43" ht="12.75" customHeight="1" x14ac:dyDescent="0.2">
      <c r="A31" s="2" t="s">
        <v>142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81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82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83">SUM(O31:R31)</f>
        <v>14.6</v>
      </c>
      <c r="U31" s="31">
        <v>-1.8</v>
      </c>
      <c r="V31" s="31">
        <v>-0.8</v>
      </c>
      <c r="W31" s="31">
        <v>1</v>
      </c>
      <c r="X31" s="122">
        <v>4.2</v>
      </c>
      <c r="Y31" s="75">
        <f t="shared" ref="Y31:Y32" si="84">SUM(U31:X31)</f>
        <v>2.6</v>
      </c>
      <c r="AA31" s="31">
        <v>-1.2</v>
      </c>
      <c r="AB31" s="31">
        <v>0</v>
      </c>
      <c r="AC31" s="31">
        <v>3.2</v>
      </c>
      <c r="AD31" s="122">
        <v>5.5</v>
      </c>
      <c r="AE31" s="75">
        <f t="shared" ref="AE31:AE32" si="85">SUM(AA31:AD31)</f>
        <v>7.5</v>
      </c>
      <c r="AG31" s="31">
        <v>-1.7</v>
      </c>
      <c r="AH31" s="281"/>
      <c r="AI31" s="281"/>
      <c r="AJ31" s="284"/>
      <c r="AK31" s="285"/>
      <c r="AM31" s="285"/>
      <c r="AN31" s="31"/>
      <c r="AO31" s="31"/>
      <c r="AP31" s="31"/>
      <c r="AQ31" s="75"/>
    </row>
    <row r="32" spans="1:43" ht="12.75" customHeight="1" x14ac:dyDescent="0.2">
      <c r="A32" s="2" t="s">
        <v>185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81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82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83"/>
        <v>0</v>
      </c>
      <c r="U32" s="31">
        <v>0</v>
      </c>
      <c r="V32" s="31">
        <v>0</v>
      </c>
      <c r="W32" s="31">
        <v>0</v>
      </c>
      <c r="X32" s="122">
        <v>0</v>
      </c>
      <c r="Y32" s="75">
        <f t="shared" si="84"/>
        <v>0</v>
      </c>
      <c r="AA32" s="31">
        <v>0</v>
      </c>
      <c r="AB32" s="31">
        <v>0</v>
      </c>
      <c r="AC32" s="31">
        <v>0</v>
      </c>
      <c r="AD32" s="122">
        <v>0</v>
      </c>
      <c r="AE32" s="75">
        <f t="shared" si="85"/>
        <v>0</v>
      </c>
      <c r="AG32" s="31">
        <v>0</v>
      </c>
      <c r="AH32" s="281"/>
      <c r="AI32" s="281"/>
      <c r="AJ32" s="284"/>
      <c r="AK32" s="285"/>
      <c r="AM32" s="285"/>
      <c r="AN32" s="31"/>
      <c r="AO32" s="31"/>
      <c r="AP32" s="31"/>
      <c r="AQ32" s="78"/>
    </row>
    <row r="33" spans="1:144" s="53" customFormat="1" ht="12.75" customHeight="1" x14ac:dyDescent="0.2">
      <c r="A33" s="48" t="s">
        <v>152</v>
      </c>
      <c r="C33" s="79">
        <f>+SUM(C30:C32)</f>
        <v>15.699999999999998</v>
      </c>
      <c r="D33" s="79">
        <f t="shared" ref="D33" si="86">+SUM(D30:D32)</f>
        <v>43.6</v>
      </c>
      <c r="E33" s="79">
        <f t="shared" ref="E33" si="87">+SUM(E30:E32)</f>
        <v>43</v>
      </c>
      <c r="F33" s="132">
        <f t="shared" ref="F33" si="88">+SUM(F30:F32)</f>
        <v>39.5</v>
      </c>
      <c r="G33" s="80">
        <f t="shared" ref="G33" si="89">+SUM(G30:G32)</f>
        <v>141.80000000000001</v>
      </c>
      <c r="H33" s="82"/>
      <c r="I33" s="79">
        <f t="shared" ref="I33" si="90">+SUM(I30:I32)</f>
        <v>18.899999999999999</v>
      </c>
      <c r="J33" s="79">
        <f t="shared" ref="J33" si="91">+SUM(J30:J32)</f>
        <v>33.1</v>
      </c>
      <c r="K33" s="79">
        <f t="shared" ref="K33" si="92">+SUM(K30:K32)</f>
        <v>27.6</v>
      </c>
      <c r="L33" s="132">
        <f t="shared" ref="L33" si="93">+SUM(L30:L32)</f>
        <v>-0.30000000000000038</v>
      </c>
      <c r="M33" s="80">
        <f t="shared" ref="M33" si="94">+SUM(M30:M32)</f>
        <v>79.3</v>
      </c>
      <c r="N33" s="82"/>
      <c r="O33" s="79">
        <f t="shared" ref="O33" si="95">+SUM(O30:O32)</f>
        <v>-2.8000000000000003</v>
      </c>
      <c r="P33" s="79">
        <f t="shared" ref="P33" si="96">+SUM(P30:P32)</f>
        <v>13.299999999999999</v>
      </c>
      <c r="Q33" s="79">
        <f t="shared" ref="Q33" si="97">+SUM(Q30:Q32)</f>
        <v>10.799999999999999</v>
      </c>
      <c r="R33" s="132">
        <f t="shared" ref="R33" si="98">+SUM(R30:R32)</f>
        <v>8.3999999999999968</v>
      </c>
      <c r="S33" s="80">
        <f>+SUM(S30:S32)</f>
        <v>29.699999999999996</v>
      </c>
      <c r="U33" s="79">
        <f t="shared" ref="U33:X33" si="99">+SUM(U30:U32)</f>
        <v>8.3999999999999986</v>
      </c>
      <c r="V33" s="79">
        <f t="shared" si="99"/>
        <v>15.2</v>
      </c>
      <c r="W33" s="79">
        <f t="shared" si="99"/>
        <v>22.4</v>
      </c>
      <c r="X33" s="79">
        <f t="shared" si="99"/>
        <v>13.3</v>
      </c>
      <c r="Y33" s="80">
        <f t="shared" ref="Y33" si="100">+SUM(Y30:Y32)</f>
        <v>59.3</v>
      </c>
      <c r="AA33" s="79">
        <f t="shared" ref="AA33:AE33" si="101">+SUM(AA30:AA32)</f>
        <v>29</v>
      </c>
      <c r="AB33" s="79">
        <f t="shared" ref="AB33:AD33" si="102">+SUM(AB30:AB32)</f>
        <v>42.4</v>
      </c>
      <c r="AC33" s="79">
        <f t="shared" si="102"/>
        <v>48.000000000000007</v>
      </c>
      <c r="AD33" s="79">
        <f t="shared" si="102"/>
        <v>19.200000000000003</v>
      </c>
      <c r="AE33" s="80">
        <f t="shared" si="101"/>
        <v>138.59999999999997</v>
      </c>
      <c r="AG33" s="79">
        <f t="shared" ref="AG33" si="103">+SUM(AG30:AG32)</f>
        <v>36.6</v>
      </c>
      <c r="AH33" s="282"/>
      <c r="AI33" s="282"/>
      <c r="AJ33" s="282"/>
      <c r="AK33" s="283"/>
      <c r="AM33" s="283"/>
      <c r="AN33" s="79"/>
      <c r="AO33" s="79"/>
      <c r="AP33" s="79"/>
      <c r="AQ33" s="80"/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  <c r="AA34" s="67"/>
      <c r="AB34" s="67"/>
      <c r="AC34" s="67"/>
      <c r="AD34" s="67"/>
      <c r="AE34" s="68"/>
      <c r="AG34" s="67"/>
      <c r="AH34" s="67"/>
      <c r="AI34" s="67"/>
      <c r="AJ34" s="67"/>
      <c r="AK34" s="68"/>
      <c r="AM34" s="67"/>
      <c r="AN34" s="67"/>
      <c r="AO34" s="67"/>
      <c r="AP34" s="67"/>
      <c r="AQ34" s="68"/>
    </row>
    <row r="35" spans="1:144" s="5" customFormat="1" ht="12.75" customHeight="1" x14ac:dyDescent="0.2">
      <c r="A35" s="2" t="s">
        <v>187</v>
      </c>
      <c r="C35" s="248">
        <v>-14.6</v>
      </c>
      <c r="D35" s="248">
        <v>-5.0999999999999996</v>
      </c>
      <c r="E35" s="248">
        <v>-7.5</v>
      </c>
      <c r="F35" s="248">
        <v>-17.7</v>
      </c>
      <c r="G35" s="247">
        <f t="shared" ref="G35" si="104">SUM(C35:F35)</f>
        <v>-44.9</v>
      </c>
      <c r="H35" s="202"/>
      <c r="I35" s="248">
        <v>-3.1</v>
      </c>
      <c r="J35" s="248">
        <v>-7.5</v>
      </c>
      <c r="K35" s="248">
        <v>-9.8000000000000007</v>
      </c>
      <c r="L35" s="248">
        <f>+M35-I35-J35-K35</f>
        <v>-9.0999999999999979</v>
      </c>
      <c r="M35" s="247">
        <v>-29.5</v>
      </c>
      <c r="N35" s="202"/>
      <c r="O35" s="248">
        <v>3</v>
      </c>
      <c r="P35" s="248">
        <v>-3.9</v>
      </c>
      <c r="Q35" s="248">
        <v>-4.9000000000000004</v>
      </c>
      <c r="R35" s="248">
        <f>+S35-O35-P35-Q35</f>
        <v>-6.1999999999999993</v>
      </c>
      <c r="S35" s="247">
        <v>-12</v>
      </c>
      <c r="U35" s="248">
        <v>-0.4</v>
      </c>
      <c r="V35" s="248">
        <v>-8.6999999999999993</v>
      </c>
      <c r="W35" s="248">
        <v>-1</v>
      </c>
      <c r="X35" s="246">
        <v>0.2</v>
      </c>
      <c r="Y35" s="75">
        <f>SUM(U35:X35)</f>
        <v>-9.9</v>
      </c>
      <c r="AA35" s="248">
        <v>1.8</v>
      </c>
      <c r="AB35" s="248">
        <v>0</v>
      </c>
      <c r="AC35" s="248">
        <v>-14.5</v>
      </c>
      <c r="AD35" s="246">
        <v>0</v>
      </c>
      <c r="AE35" s="75">
        <f>SUM(AA35:AD35)</f>
        <v>-12.7</v>
      </c>
      <c r="AG35" s="248">
        <v>8.5</v>
      </c>
      <c r="AH35" s="248">
        <v>-0.4</v>
      </c>
      <c r="AI35" s="248">
        <v>0</v>
      </c>
      <c r="AJ35" s="248">
        <v>0</v>
      </c>
      <c r="AK35" s="300">
        <v>0.1</v>
      </c>
      <c r="AL35" s="5" t="s">
        <v>209</v>
      </c>
      <c r="AM35" s="248">
        <v>0</v>
      </c>
      <c r="AN35" s="248"/>
      <c r="AO35" s="248"/>
      <c r="AP35" s="248"/>
      <c r="AQ35" s="300"/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AA36" s="28"/>
      <c r="AB36" s="28"/>
      <c r="AC36" s="28"/>
      <c r="AD36" s="28"/>
      <c r="AE36" s="64"/>
      <c r="AG36" s="28"/>
      <c r="AH36" s="28"/>
      <c r="AI36" s="28"/>
      <c r="AJ36" s="28"/>
      <c r="AK36" s="64"/>
      <c r="AM36" s="28"/>
      <c r="AN36" s="28"/>
      <c r="AO36" s="28"/>
      <c r="AP36" s="28"/>
      <c r="AQ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AA37" s="28"/>
      <c r="AB37" s="28"/>
      <c r="AC37" s="28"/>
      <c r="AD37" s="28"/>
      <c r="AE37" s="64"/>
      <c r="AG37" s="28"/>
      <c r="AH37" s="28"/>
      <c r="AI37" s="28"/>
      <c r="AJ37" s="28"/>
      <c r="AK37" s="64"/>
      <c r="AM37" s="28"/>
      <c r="AN37" s="28"/>
      <c r="AO37" s="28"/>
      <c r="AP37" s="28"/>
      <c r="AQ37" s="64"/>
      <c r="EN37" s="27"/>
    </row>
    <row r="38" spans="1:144" s="1" customFormat="1" ht="12.75" customHeight="1" x14ac:dyDescent="0.2">
      <c r="A38" s="3" t="s">
        <v>143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>
        <f>+V30+V35</f>
        <v>7.3000000000000007</v>
      </c>
      <c r="W38" s="227">
        <v>20.399999999999999</v>
      </c>
      <c r="X38" s="227">
        <v>9.3000000000000007</v>
      </c>
      <c r="Y38" s="75">
        <f>SUM(U38:X38)</f>
        <v>46.8</v>
      </c>
      <c r="AA38" s="227">
        <f>+AA30+AA35</f>
        <v>32</v>
      </c>
      <c r="AB38" s="227">
        <f t="shared" ref="AB38:AD38" si="105">+AB30+AB35</f>
        <v>42.4</v>
      </c>
      <c r="AC38" s="227">
        <f t="shared" si="105"/>
        <v>30.300000000000004</v>
      </c>
      <c r="AD38" s="227">
        <f t="shared" si="105"/>
        <v>13.700000000000001</v>
      </c>
      <c r="AE38" s="75">
        <f>SUM(AA38:AD38)</f>
        <v>118.40000000000002</v>
      </c>
      <c r="AG38" s="227">
        <v>38.799999999999997</v>
      </c>
      <c r="AH38" s="227">
        <f>+AH30+AH35</f>
        <v>40.9</v>
      </c>
      <c r="AI38" s="227">
        <f>+AI30+AI35</f>
        <v>35.199999999999996</v>
      </c>
      <c r="AJ38" s="227">
        <v>39.700000000000003</v>
      </c>
      <c r="AK38" s="75">
        <f>SUM(AG38:AJ38)</f>
        <v>154.59999999999997</v>
      </c>
      <c r="AM38" s="227">
        <v>56.9</v>
      </c>
      <c r="AN38" s="227"/>
      <c r="AO38" s="227"/>
      <c r="AP38" s="227"/>
      <c r="AQ38" s="75"/>
      <c r="EN38" s="4"/>
    </row>
    <row r="39" spans="1:144" s="162" customFormat="1" ht="12.75" customHeight="1" x14ac:dyDescent="0.2">
      <c r="A39" s="162" t="s">
        <v>142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>
        <f>+V31</f>
        <v>-0.8</v>
      </c>
      <c r="W39" s="210">
        <v>1</v>
      </c>
      <c r="X39" s="210">
        <v>4.2</v>
      </c>
      <c r="Y39" s="88">
        <f>SUM(U39:X39)</f>
        <v>2.6</v>
      </c>
      <c r="AA39" s="210">
        <f>+AA31</f>
        <v>-1.2</v>
      </c>
      <c r="AB39" s="210">
        <f t="shared" ref="AB39:AD39" si="106">+AB31</f>
        <v>0</v>
      </c>
      <c r="AC39" s="210">
        <f t="shared" si="106"/>
        <v>3.2</v>
      </c>
      <c r="AD39" s="210">
        <f t="shared" si="106"/>
        <v>5.5</v>
      </c>
      <c r="AE39" s="88">
        <f>SUM(AA39:AD39)</f>
        <v>7.5</v>
      </c>
      <c r="AG39" s="210">
        <v>6.3</v>
      </c>
      <c r="AH39" s="289"/>
      <c r="AI39" s="289"/>
      <c r="AJ39" s="289"/>
      <c r="AK39" s="288"/>
      <c r="AM39" s="289"/>
      <c r="AN39" s="289"/>
      <c r="AO39" s="289"/>
      <c r="AP39" s="289"/>
      <c r="AQ39" s="288"/>
    </row>
    <row r="40" spans="1:144" s="53" customFormat="1" ht="12.75" customHeight="1" x14ac:dyDescent="0.2">
      <c r="A40" s="48" t="s">
        <v>152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>
        <f>+SUM(V38:V39)</f>
        <v>6.5000000000000009</v>
      </c>
      <c r="W40" s="79">
        <f>+SUM(W38:W39)</f>
        <v>21.4</v>
      </c>
      <c r="X40" s="79">
        <f>+SUM(X38:X39)</f>
        <v>13.5</v>
      </c>
      <c r="Y40" s="80">
        <f>+SUM(Y38:Y39)</f>
        <v>49.4</v>
      </c>
      <c r="AA40" s="79">
        <f>+SUM(AA38:AA39)</f>
        <v>30.8</v>
      </c>
      <c r="AB40" s="79">
        <f t="shared" ref="AB40:AD40" si="107">+SUM(AB38:AB39)</f>
        <v>42.4</v>
      </c>
      <c r="AC40" s="79">
        <f t="shared" si="107"/>
        <v>33.500000000000007</v>
      </c>
      <c r="AD40" s="79">
        <f t="shared" si="107"/>
        <v>19.200000000000003</v>
      </c>
      <c r="AE40" s="80">
        <f>+SUM(AE38:AE39)</f>
        <v>125.90000000000002</v>
      </c>
      <c r="AG40" s="79">
        <f>+SUM(AG38:AG39)</f>
        <v>45.099999999999994</v>
      </c>
      <c r="AH40" s="282"/>
      <c r="AI40" s="282"/>
      <c r="AJ40" s="282"/>
      <c r="AK40" s="283"/>
      <c r="AM40" s="282"/>
      <c r="AN40" s="282"/>
      <c r="AO40" s="282"/>
      <c r="AP40" s="282"/>
      <c r="AQ40" s="283"/>
    </row>
    <row r="41" spans="1:144" ht="12.75" customHeight="1" x14ac:dyDescent="0.2">
      <c r="G41" s="54"/>
      <c r="M41" s="54"/>
      <c r="S41" s="54"/>
      <c r="Y41" s="54"/>
      <c r="AE41" s="54"/>
      <c r="AK41" s="54"/>
      <c r="AQ41" s="54"/>
    </row>
    <row r="42" spans="1:144" ht="12.75" customHeight="1" x14ac:dyDescent="0.2">
      <c r="A42" s="5" t="s">
        <v>188</v>
      </c>
      <c r="G42" s="54"/>
      <c r="M42" s="54"/>
      <c r="S42" s="54"/>
      <c r="Y42" s="54"/>
      <c r="AE42" s="54"/>
      <c r="AK42" s="54"/>
      <c r="AQ42" s="54"/>
    </row>
    <row r="43" spans="1:144" ht="12.75" customHeight="1" x14ac:dyDescent="0.2">
      <c r="A43" s="2" t="s">
        <v>182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>
        <v>-5.7</v>
      </c>
      <c r="W43" s="31">
        <v>-3.1</v>
      </c>
      <c r="X43" s="122">
        <v>-9</v>
      </c>
      <c r="Y43" s="75">
        <f>SUM(U43:X43)</f>
        <v>-28.3</v>
      </c>
      <c r="Z43" s="3"/>
      <c r="AA43" s="31">
        <v>4.5999999999999996</v>
      </c>
      <c r="AB43" s="31">
        <v>8.1</v>
      </c>
      <c r="AC43" s="31">
        <v>17.5</v>
      </c>
      <c r="AD43" s="122">
        <v>-16.2</v>
      </c>
      <c r="AE43" s="75">
        <f>SUM(AA43:AD43)</f>
        <v>14</v>
      </c>
      <c r="AG43" s="31">
        <v>10.199999999999999</v>
      </c>
      <c r="AH43" s="31">
        <v>14.9</v>
      </c>
      <c r="AI43" s="31">
        <v>10</v>
      </c>
      <c r="AJ43" s="122">
        <v>6.5</v>
      </c>
      <c r="AK43" s="75">
        <f>SUM(AG43:AJ43)</f>
        <v>41.6</v>
      </c>
      <c r="AM43" s="31">
        <v>18.100000000000001</v>
      </c>
      <c r="AN43" s="31"/>
      <c r="AO43" s="31"/>
      <c r="AP43" s="122"/>
      <c r="AQ43" s="75"/>
    </row>
    <row r="44" spans="1:144" ht="12.75" customHeight="1" x14ac:dyDescent="0.2">
      <c r="A44" s="2" t="s">
        <v>183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108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109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110">SUM(O44:R44)</f>
        <v>-14.8</v>
      </c>
      <c r="U44" s="31">
        <v>-0.8</v>
      </c>
      <c r="V44" s="31">
        <v>2.1</v>
      </c>
      <c r="W44" s="31">
        <v>2.4</v>
      </c>
      <c r="X44" s="122">
        <v>-3.9</v>
      </c>
      <c r="Y44" s="75">
        <f t="shared" ref="Y44:Y46" si="111">SUM(U44:X44)</f>
        <v>-0.19999999999999973</v>
      </c>
      <c r="Z44" s="3"/>
      <c r="AA44" s="31">
        <v>1.3</v>
      </c>
      <c r="AB44" s="31">
        <v>3.4</v>
      </c>
      <c r="AC44" s="31">
        <v>4.7</v>
      </c>
      <c r="AD44" s="122">
        <v>3.7</v>
      </c>
      <c r="AE44" s="75">
        <f t="shared" ref="AE44:AE46" si="112">SUM(AA44:AD44)</f>
        <v>13.100000000000001</v>
      </c>
      <c r="AG44" s="31">
        <v>6.5</v>
      </c>
      <c r="AH44" s="31">
        <v>3.6</v>
      </c>
      <c r="AI44" s="31">
        <v>-1.3</v>
      </c>
      <c r="AJ44" s="122">
        <v>4.8</v>
      </c>
      <c r="AK44" s="75">
        <f t="shared" ref="AK44:AK46" si="113">SUM(AG44:AJ44)</f>
        <v>13.599999999999998</v>
      </c>
      <c r="AM44" s="31">
        <v>14.2</v>
      </c>
      <c r="AN44" s="31"/>
      <c r="AO44" s="31"/>
      <c r="AP44" s="122"/>
      <c r="AQ44" s="75"/>
    </row>
    <row r="45" spans="1:144" ht="12.75" customHeight="1" x14ac:dyDescent="0.2">
      <c r="A45" s="2" t="s">
        <v>184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108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109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110"/>
        <v>8.6999999999999993</v>
      </c>
      <c r="U45" s="31">
        <v>1.7</v>
      </c>
      <c r="V45" s="31">
        <v>3</v>
      </c>
      <c r="W45" s="31">
        <v>3.2</v>
      </c>
      <c r="X45" s="122">
        <v>2.6</v>
      </c>
      <c r="Y45" s="75">
        <f t="shared" si="111"/>
        <v>10.5</v>
      </c>
      <c r="Z45" s="3"/>
      <c r="AA45" s="31">
        <v>6.9</v>
      </c>
      <c r="AB45" s="31">
        <v>13.4</v>
      </c>
      <c r="AC45" s="31">
        <v>3.3</v>
      </c>
      <c r="AD45" s="122">
        <v>4.8</v>
      </c>
      <c r="AE45" s="75">
        <f t="shared" si="112"/>
        <v>28.400000000000002</v>
      </c>
      <c r="AG45" s="31">
        <v>2.7</v>
      </c>
      <c r="AH45" s="31">
        <v>0.7</v>
      </c>
      <c r="AI45" s="31">
        <v>7.6</v>
      </c>
      <c r="AJ45" s="122">
        <v>10.5</v>
      </c>
      <c r="AK45" s="75">
        <f t="shared" si="113"/>
        <v>21.5</v>
      </c>
      <c r="AM45" s="31">
        <v>2.9</v>
      </c>
      <c r="AN45" s="31"/>
      <c r="AO45" s="31"/>
      <c r="AP45" s="122"/>
      <c r="AQ45" s="75"/>
    </row>
    <row r="46" spans="1:144" ht="12.75" customHeight="1" x14ac:dyDescent="0.2">
      <c r="A46" s="47" t="s">
        <v>189</v>
      </c>
      <c r="B46" s="47"/>
      <c r="C46" s="77">
        <v>-1.7</v>
      </c>
      <c r="D46" s="77">
        <v>-1.7</v>
      </c>
      <c r="E46" s="77">
        <v>-0.6</v>
      </c>
      <c r="F46" s="238">
        <v>-4.5999999999999996</v>
      </c>
      <c r="G46" s="78">
        <f t="shared" si="108"/>
        <v>-8.6</v>
      </c>
      <c r="H46" s="31"/>
      <c r="I46" s="31">
        <v>-4</v>
      </c>
      <c r="J46" s="77">
        <v>-2.7</v>
      </c>
      <c r="K46" s="77">
        <v>-4.3</v>
      </c>
      <c r="L46" s="238">
        <v>-5.3</v>
      </c>
      <c r="M46" s="78">
        <f t="shared" si="109"/>
        <v>-16.3</v>
      </c>
      <c r="O46" s="77">
        <v>-6.1</v>
      </c>
      <c r="P46" s="77">
        <v>-2.8</v>
      </c>
      <c r="Q46" s="77">
        <v>-3.3</v>
      </c>
      <c r="R46" s="238">
        <v>-4</v>
      </c>
      <c r="S46" s="78">
        <f t="shared" si="110"/>
        <v>-16.2</v>
      </c>
      <c r="U46" s="77">
        <v>-0.9</v>
      </c>
      <c r="V46" s="77">
        <v>-3</v>
      </c>
      <c r="W46" s="77">
        <v>-1.2</v>
      </c>
      <c r="X46" s="238">
        <v>-5.4</v>
      </c>
      <c r="Y46" s="78">
        <f t="shared" si="111"/>
        <v>-10.5</v>
      </c>
      <c r="Z46" s="3"/>
      <c r="AA46" s="77">
        <v>-3.8</v>
      </c>
      <c r="AB46" s="77">
        <v>-3.9</v>
      </c>
      <c r="AC46" s="77">
        <v>-4.4000000000000004</v>
      </c>
      <c r="AD46" s="238">
        <v>-6.8</v>
      </c>
      <c r="AE46" s="78">
        <f t="shared" si="112"/>
        <v>-18.899999999999999</v>
      </c>
      <c r="AG46" s="77">
        <v>-0.7</v>
      </c>
      <c r="AH46" s="77">
        <v>1.9</v>
      </c>
      <c r="AI46" s="77">
        <v>-0.5</v>
      </c>
      <c r="AJ46" s="238">
        <v>-8.3000000000000007</v>
      </c>
      <c r="AK46" s="78">
        <f t="shared" si="113"/>
        <v>-7.6000000000000005</v>
      </c>
      <c r="AM46" s="77">
        <v>-0.7</v>
      </c>
      <c r="AN46" s="77"/>
      <c r="AO46" s="77"/>
      <c r="AP46" s="238"/>
      <c r="AQ46" s="78"/>
    </row>
    <row r="47" spans="1:144" s="53" customFormat="1" ht="12.75" customHeight="1" x14ac:dyDescent="0.2">
      <c r="A47" s="48" t="s">
        <v>143</v>
      </c>
      <c r="C47" s="79">
        <f>+SUM(C43:C46)</f>
        <v>7.1000000000000005</v>
      </c>
      <c r="D47" s="79">
        <f t="shared" ref="D47" si="114">+SUM(D43:D46)</f>
        <v>24.600000000000005</v>
      </c>
      <c r="E47" s="79">
        <f t="shared" ref="E47" si="115">+SUM(E43:E46)</f>
        <v>20.8</v>
      </c>
      <c r="F47" s="132">
        <f t="shared" ref="F47" si="116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117">+SUM(J43:J46)</f>
        <v>12.8</v>
      </c>
      <c r="K47" s="79">
        <f t="shared" ref="K47" si="118">+SUM(K43:K46)</f>
        <v>6.799999999999998</v>
      </c>
      <c r="L47" s="132">
        <f t="shared" ref="L47" si="119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120">+SUM(P43:P46)</f>
        <v>-10.899999999999999</v>
      </c>
      <c r="Q47" s="79">
        <f t="shared" ref="Q47" si="121">+SUM(Q43:Q46)</f>
        <v>-13.899999999999999</v>
      </c>
      <c r="R47" s="132">
        <f t="shared" ref="R47" si="122">+SUM(R43:R46)</f>
        <v>-27.9</v>
      </c>
      <c r="S47" s="80">
        <f>+SUM(S43:S46)</f>
        <v>-75.699999999999989</v>
      </c>
      <c r="U47" s="79">
        <f>+SUM(U43:U46)</f>
        <v>-10.500000000000002</v>
      </c>
      <c r="V47" s="79">
        <f>+SUM(V43:V46)</f>
        <v>-3.6</v>
      </c>
      <c r="W47" s="79">
        <f>+SUM(W43:W46)</f>
        <v>1.3</v>
      </c>
      <c r="X47" s="79">
        <f>+SUM(X43:X46)</f>
        <v>-15.700000000000001</v>
      </c>
      <c r="Y47" s="80">
        <f>+SUM(Y43:Y46)</f>
        <v>-28.5</v>
      </c>
      <c r="Z47" s="264"/>
      <c r="AA47" s="79">
        <f>+SUM(AA43:AA46)</f>
        <v>9</v>
      </c>
      <c r="AB47" s="79">
        <f t="shared" ref="AB47:AD47" si="123">+SUM(AB43:AB46)</f>
        <v>21</v>
      </c>
      <c r="AC47" s="79">
        <f t="shared" si="123"/>
        <v>21.1</v>
      </c>
      <c r="AD47" s="79">
        <f t="shared" si="123"/>
        <v>-14.5</v>
      </c>
      <c r="AE47" s="80">
        <f>+SUM(AE43:AE46)</f>
        <v>36.6</v>
      </c>
      <c r="AG47" s="79">
        <f>+SUM(AG43:AG46)</f>
        <v>18.7</v>
      </c>
      <c r="AH47" s="79">
        <f t="shared" ref="AH47:AJ47" si="124">+SUM(AH43:AH46)</f>
        <v>21.099999999999998</v>
      </c>
      <c r="AI47" s="79">
        <f t="shared" si="124"/>
        <v>15.799999999999997</v>
      </c>
      <c r="AJ47" s="79">
        <f t="shared" si="124"/>
        <v>13.5</v>
      </c>
      <c r="AK47" s="80">
        <f>+SUM(AK43:AK46)</f>
        <v>69.100000000000009</v>
      </c>
      <c r="AM47" s="79">
        <f>+SUM(AM43:AM46)</f>
        <v>34.499999999999993</v>
      </c>
      <c r="AN47" s="79"/>
      <c r="AO47" s="79"/>
      <c r="AP47" s="79"/>
      <c r="AQ47" s="80"/>
    </row>
    <row r="48" spans="1:144" s="5" customFormat="1" ht="12.75" customHeight="1" x14ac:dyDescent="0.2">
      <c r="A48" s="2" t="s">
        <v>142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125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126">SUM(O48:R48)</f>
        <v>4.7</v>
      </c>
      <c r="U48" s="31">
        <v>-4.3</v>
      </c>
      <c r="V48" s="31">
        <v>-3.8</v>
      </c>
      <c r="W48" s="31">
        <v>-2.2000000000000002</v>
      </c>
      <c r="X48" s="122">
        <v>0.8</v>
      </c>
      <c r="Y48" s="75">
        <f t="shared" ref="Y48" si="127">SUM(U48:X48)</f>
        <v>-9.5</v>
      </c>
      <c r="Z48" s="1"/>
      <c r="AA48" s="31">
        <v>-4.7</v>
      </c>
      <c r="AB48" s="31">
        <v>-3.5</v>
      </c>
      <c r="AC48" s="31">
        <v>-0.3</v>
      </c>
      <c r="AD48" s="122">
        <v>1.4</v>
      </c>
      <c r="AE48" s="75">
        <f t="shared" ref="AE48" si="128">SUM(AA48:AD48)</f>
        <v>-7.1</v>
      </c>
      <c r="AG48" s="31">
        <v>-5.2</v>
      </c>
      <c r="AH48" s="281"/>
      <c r="AI48" s="281"/>
      <c r="AJ48" s="284"/>
      <c r="AK48" s="285"/>
      <c r="AM48" s="281"/>
      <c r="AN48" s="281"/>
      <c r="AO48" s="281"/>
      <c r="AP48" s="284"/>
      <c r="AQ48" s="285"/>
      <c r="EN48" s="27"/>
    </row>
    <row r="49" spans="1:144" s="53" customFormat="1" ht="12.75" customHeight="1" x14ac:dyDescent="0.2">
      <c r="A49" s="48" t="s">
        <v>152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69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>
        <f>+SUM(V47:V48)</f>
        <v>-7.4</v>
      </c>
      <c r="W49" s="79">
        <f>+SUM(W47:W48)</f>
        <v>-0.90000000000000013</v>
      </c>
      <c r="X49" s="79">
        <f>+SUM(X47:X48)</f>
        <v>-14.9</v>
      </c>
      <c r="Y49" s="80">
        <f>+SUM(Y47:Y48)</f>
        <v>-38</v>
      </c>
      <c r="Z49" s="264"/>
      <c r="AA49" s="79">
        <f>+SUM(AA47:AA48)</f>
        <v>4.3</v>
      </c>
      <c r="AB49" s="79">
        <f t="shared" ref="AB49:AD49" si="129">+SUM(AB47:AB48)</f>
        <v>17.5</v>
      </c>
      <c r="AC49" s="79">
        <f t="shared" si="129"/>
        <v>20.8</v>
      </c>
      <c r="AD49" s="79">
        <f t="shared" si="129"/>
        <v>-13.1</v>
      </c>
      <c r="AE49" s="80">
        <f>+SUM(AE47:AE48)</f>
        <v>29.5</v>
      </c>
      <c r="AG49" s="79">
        <f>+SUM(AG47:AG48)</f>
        <v>13.5</v>
      </c>
      <c r="AH49" s="282"/>
      <c r="AI49" s="282"/>
      <c r="AJ49" s="282"/>
      <c r="AK49" s="283"/>
      <c r="AM49" s="282"/>
      <c r="AN49" s="282"/>
      <c r="AO49" s="282"/>
      <c r="AP49" s="282"/>
      <c r="AQ49" s="283"/>
    </row>
    <row r="50" spans="1:144" s="5" customFormat="1" ht="12.75" customHeight="1" x14ac:dyDescent="0.2">
      <c r="B50" s="63"/>
      <c r="G50" s="36"/>
      <c r="M50" s="36"/>
      <c r="S50" s="36"/>
      <c r="Y50" s="36"/>
      <c r="AE50" s="36"/>
      <c r="AK50" s="36"/>
      <c r="AQ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AE51" s="36"/>
      <c r="AK51" s="36"/>
      <c r="AQ51" s="36"/>
      <c r="EN51" s="4"/>
    </row>
    <row r="52" spans="1:144" s="1" customFormat="1" ht="12.75" customHeight="1" x14ac:dyDescent="0.2">
      <c r="A52" s="3" t="s">
        <v>143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227">
        <v>-10.9</v>
      </c>
      <c r="V52" s="227">
        <v>-12.3</v>
      </c>
      <c r="W52" s="227">
        <v>0.3</v>
      </c>
      <c r="X52" s="227">
        <v>-15.5</v>
      </c>
      <c r="Y52" s="75">
        <f>SUM(U52:X52)</f>
        <v>-38.400000000000006</v>
      </c>
      <c r="AA52" s="227">
        <v>10.8</v>
      </c>
      <c r="AB52" s="227">
        <v>21</v>
      </c>
      <c r="AC52" s="227">
        <v>6.6</v>
      </c>
      <c r="AD52" s="227">
        <v>-14.5</v>
      </c>
      <c r="AE52" s="75">
        <f>SUM(AA52:AD52)</f>
        <v>23.9</v>
      </c>
      <c r="AG52" s="227">
        <v>19.2</v>
      </c>
      <c r="AH52" s="227">
        <v>20.7</v>
      </c>
      <c r="AI52" s="227">
        <v>15.8</v>
      </c>
      <c r="AJ52" s="227">
        <v>13.5</v>
      </c>
      <c r="AK52" s="75">
        <f>SUM(AG52:AJ52)</f>
        <v>69.2</v>
      </c>
      <c r="AM52" s="227">
        <v>34.5</v>
      </c>
      <c r="AN52" s="227"/>
      <c r="AO52" s="227"/>
      <c r="AP52" s="227"/>
      <c r="AQ52" s="75"/>
      <c r="EN52" s="4"/>
    </row>
    <row r="53" spans="1:144" s="1" customFormat="1" ht="12.75" customHeight="1" x14ac:dyDescent="0.2">
      <c r="A53" s="3" t="s">
        <v>142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203">
        <v>-4.3</v>
      </c>
      <c r="V53" s="203">
        <v>-3.8</v>
      </c>
      <c r="W53" s="203">
        <v>-2.2000000000000002</v>
      </c>
      <c r="X53" s="203">
        <v>0.8</v>
      </c>
      <c r="Y53" s="75">
        <f>SUM(U53:X53)</f>
        <v>-9.5</v>
      </c>
      <c r="AA53" s="203">
        <v>-4.7</v>
      </c>
      <c r="AB53" s="203">
        <v>-3.5</v>
      </c>
      <c r="AC53" s="203">
        <v>-0.3</v>
      </c>
      <c r="AD53" s="203">
        <v>1.4</v>
      </c>
      <c r="AE53" s="75">
        <f>SUM(AA53:AD53)</f>
        <v>-7.1</v>
      </c>
      <c r="AG53" s="203">
        <v>2.8</v>
      </c>
      <c r="AH53" s="290"/>
      <c r="AI53" s="290"/>
      <c r="AJ53" s="290"/>
      <c r="AK53" s="285"/>
      <c r="AM53" s="290"/>
      <c r="AN53" s="290"/>
      <c r="AO53" s="290"/>
      <c r="AP53" s="290"/>
      <c r="AQ53" s="285"/>
      <c r="EN53" s="4"/>
    </row>
    <row r="54" spans="1:144" s="53" customFormat="1" ht="12.75" customHeight="1" x14ac:dyDescent="0.2">
      <c r="A54" s="48" t="s">
        <v>152</v>
      </c>
      <c r="C54" s="79">
        <f t="shared" ref="C54" si="130">+SUM(C52:C53)</f>
        <v>-10.6</v>
      </c>
      <c r="D54" s="79">
        <f t="shared" ref="D54" si="131">+SUM(D52:D53)</f>
        <v>19</v>
      </c>
      <c r="E54" s="79">
        <f t="shared" ref="E54" si="132">+SUM(E52:E53)</f>
        <v>11.5</v>
      </c>
      <c r="F54" s="132">
        <f t="shared" ref="F54" si="133">+SUM(F52:F53)</f>
        <v>-2.6000000000000005</v>
      </c>
      <c r="G54" s="80">
        <f>+SUM(G52:G53)</f>
        <v>17.3</v>
      </c>
      <c r="H54" s="82"/>
      <c r="I54" s="79">
        <f t="shared" ref="I54" si="134">+SUM(I52:I53)</f>
        <v>-5.6</v>
      </c>
      <c r="J54" s="79">
        <f t="shared" ref="J54" si="135">+SUM(J52:J53)</f>
        <v>4.3</v>
      </c>
      <c r="K54" s="79">
        <f t="shared" ref="K54" si="136">+SUM(K52:K53)</f>
        <v>-3</v>
      </c>
      <c r="L54" s="132">
        <f t="shared" ref="L54" si="137">+SUM(L52:L53)</f>
        <v>-33.199999999999996</v>
      </c>
      <c r="M54" s="80">
        <f>+SUM(M52:M53)</f>
        <v>-37.5</v>
      </c>
      <c r="N54" s="82"/>
      <c r="O54" s="79">
        <f t="shared" ref="O54" si="138">+SUM(O52:O53)</f>
        <v>-22.6</v>
      </c>
      <c r="P54" s="79">
        <f t="shared" ref="P54" si="139">+SUM(P52:P53)</f>
        <v>-13.3</v>
      </c>
      <c r="Q54" s="79">
        <f t="shared" ref="Q54" si="140">+SUM(Q52:Q53)</f>
        <v>-17</v>
      </c>
      <c r="R54" s="132">
        <f t="shared" ref="R54" si="141">+SUM(R52:R53)</f>
        <v>-30.100000000000009</v>
      </c>
      <c r="S54" s="80">
        <f>+SUM(S52:S53)</f>
        <v>-83</v>
      </c>
      <c r="U54" s="208">
        <f t="shared" ref="U54:X54" si="142">+SUM(U52:U53)</f>
        <v>-15.2</v>
      </c>
      <c r="V54" s="208">
        <f t="shared" si="142"/>
        <v>-16.100000000000001</v>
      </c>
      <c r="W54" s="208">
        <f t="shared" si="142"/>
        <v>-1.9000000000000001</v>
      </c>
      <c r="X54" s="208">
        <f t="shared" si="142"/>
        <v>-14.7</v>
      </c>
      <c r="Y54" s="80">
        <f>+SUM(Y52:Y53)</f>
        <v>-47.900000000000006</v>
      </c>
      <c r="AA54" s="208">
        <f t="shared" ref="AA54" si="143">+SUM(AA52:AA53)</f>
        <v>6.1000000000000005</v>
      </c>
      <c r="AB54" s="208">
        <f t="shared" ref="AB54:AD54" si="144">+SUM(AB52:AB53)</f>
        <v>17.5</v>
      </c>
      <c r="AC54" s="208">
        <f t="shared" si="144"/>
        <v>6.3</v>
      </c>
      <c r="AD54" s="208">
        <f t="shared" si="144"/>
        <v>-13.1</v>
      </c>
      <c r="AE54" s="80">
        <f>+SUM(AE52:AE53)</f>
        <v>16.799999999999997</v>
      </c>
      <c r="AG54" s="208">
        <f t="shared" ref="AG54" si="145">+SUM(AG52:AG53)</f>
        <v>22</v>
      </c>
      <c r="AH54" s="291"/>
      <c r="AI54" s="291"/>
      <c r="AJ54" s="291"/>
      <c r="AK54" s="283"/>
      <c r="AM54" s="291"/>
      <c r="AN54" s="291"/>
      <c r="AO54" s="291"/>
      <c r="AP54" s="291"/>
      <c r="AQ54" s="283"/>
    </row>
    <row r="55" spans="1:144" s="162" customFormat="1" ht="12.75" customHeight="1" x14ac:dyDescent="0.2">
      <c r="A55" s="27"/>
      <c r="C55" s="87"/>
      <c r="D55" s="87"/>
      <c r="E55" s="87"/>
      <c r="F55" s="243"/>
      <c r="G55" s="88"/>
      <c r="H55" s="127"/>
      <c r="I55" s="87"/>
      <c r="J55" s="87"/>
      <c r="K55" s="87"/>
      <c r="L55" s="243"/>
      <c r="M55" s="88"/>
      <c r="N55" s="127"/>
      <c r="O55" s="87"/>
      <c r="P55" s="87"/>
      <c r="Q55" s="87"/>
      <c r="R55" s="243"/>
      <c r="S55" s="88"/>
      <c r="U55" s="87"/>
      <c r="V55" s="87"/>
      <c r="W55" s="87"/>
      <c r="X55" s="243"/>
      <c r="Y55" s="88"/>
      <c r="AA55" s="87"/>
      <c r="AB55" s="87"/>
      <c r="AC55" s="87"/>
      <c r="AD55" s="243"/>
      <c r="AE55" s="88"/>
      <c r="AG55" s="87"/>
      <c r="AH55" s="87"/>
      <c r="AI55" s="87"/>
      <c r="AJ55" s="243"/>
      <c r="AK55" s="88"/>
      <c r="AM55" s="87"/>
      <c r="AN55" s="87"/>
      <c r="AO55" s="87"/>
      <c r="AP55" s="243"/>
      <c r="AQ55" s="88"/>
    </row>
    <row r="56" spans="1:144" s="162" customFormat="1" ht="12.75" customHeight="1" x14ac:dyDescent="0.2">
      <c r="A56" s="1" t="s">
        <v>55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  <c r="AA56" s="1"/>
      <c r="AB56" s="1"/>
      <c r="AC56" s="1"/>
      <c r="AD56" s="1"/>
      <c r="AE56" s="36"/>
      <c r="AG56" s="1"/>
      <c r="AH56" s="1"/>
      <c r="AI56" s="1"/>
      <c r="AJ56" s="1"/>
      <c r="AK56" s="36"/>
      <c r="AM56" s="1"/>
      <c r="AN56" s="1"/>
      <c r="AO56" s="1"/>
      <c r="AP56" s="1"/>
      <c r="AQ56" s="36"/>
    </row>
    <row r="57" spans="1:144" s="162" customFormat="1" ht="12.75" customHeight="1" x14ac:dyDescent="0.2">
      <c r="A57" s="3" t="s">
        <v>143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0">
        <f>SUM(C57:F57)</f>
        <v>78.2</v>
      </c>
      <c r="H57" s="249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0">
        <f>SUM(I57:L57)</f>
        <v>-46.3</v>
      </c>
      <c r="N57" s="249"/>
      <c r="O57" s="227">
        <v>-51.8</v>
      </c>
      <c r="P57" s="227">
        <v>19.3</v>
      </c>
      <c r="Q57" s="227">
        <v>10.4</v>
      </c>
      <c r="R57" s="227">
        <v>139.89999999999998</v>
      </c>
      <c r="S57" s="250">
        <f>SUM(O57:R57)</f>
        <v>117.79999999999998</v>
      </c>
      <c r="T57" s="249"/>
      <c r="U57" s="227">
        <v>-118.3</v>
      </c>
      <c r="V57" s="227">
        <v>-10</v>
      </c>
      <c r="W57" s="227">
        <v>158.80000000000001</v>
      </c>
      <c r="X57" s="227">
        <v>105.1</v>
      </c>
      <c r="Y57" s="75">
        <f>SUM(U57:X57)</f>
        <v>135.6</v>
      </c>
      <c r="AA57" s="227">
        <v>-22.7</v>
      </c>
      <c r="AB57" s="227">
        <v>-99.7</v>
      </c>
      <c r="AC57" s="227">
        <v>149.6</v>
      </c>
      <c r="AD57" s="227">
        <v>181.6</v>
      </c>
      <c r="AE57" s="75">
        <f>SUM(AA57:AD57)</f>
        <v>208.79999999999998</v>
      </c>
      <c r="AG57" s="227">
        <v>-40.9</v>
      </c>
      <c r="AH57" s="227">
        <v>137</v>
      </c>
      <c r="AI57" s="227">
        <v>-0.4</v>
      </c>
      <c r="AJ57" s="227">
        <v>202.5</v>
      </c>
      <c r="AK57" s="75">
        <f>SUM(AG57:AJ57)</f>
        <v>298.2</v>
      </c>
      <c r="AM57" s="227">
        <v>-66.599999999999994</v>
      </c>
      <c r="AN57" s="227"/>
      <c r="AO57" s="227"/>
      <c r="AP57" s="227"/>
      <c r="AQ57" s="75"/>
    </row>
    <row r="58" spans="1:144" s="162" customFormat="1" ht="12.75" customHeight="1" x14ac:dyDescent="0.2">
      <c r="A58" s="3" t="s">
        <v>142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0">
        <f>SUM(C58:F58)</f>
        <v>-0.39999999999999991</v>
      </c>
      <c r="H58" s="249"/>
      <c r="I58" s="210">
        <v>0</v>
      </c>
      <c r="J58" s="210">
        <v>-3.4</v>
      </c>
      <c r="K58" s="210">
        <v>0.7</v>
      </c>
      <c r="L58" s="210">
        <v>6.8</v>
      </c>
      <c r="M58" s="250">
        <f>SUM(I58:L58)</f>
        <v>4.0999999999999996</v>
      </c>
      <c r="N58" s="249"/>
      <c r="O58" s="210">
        <v>-2.8</v>
      </c>
      <c r="P58" s="210">
        <v>3.8</v>
      </c>
      <c r="Q58" s="210">
        <v>0.6</v>
      </c>
      <c r="R58" s="210">
        <v>5.6000000000000005</v>
      </c>
      <c r="S58" s="250">
        <f>SUM(O58:R58)</f>
        <v>7.2000000000000011</v>
      </c>
      <c r="T58" s="249"/>
      <c r="U58" s="210">
        <v>-3.2</v>
      </c>
      <c r="V58" s="210">
        <v>-1.8</v>
      </c>
      <c r="W58" s="210">
        <v>-0.1</v>
      </c>
      <c r="X58" s="210">
        <v>5.8</v>
      </c>
      <c r="Y58" s="75">
        <f>SUM(U58:X58)</f>
        <v>0.70000000000000018</v>
      </c>
      <c r="AA58" s="210">
        <v>0.4</v>
      </c>
      <c r="AB58" s="210">
        <v>0.1</v>
      </c>
      <c r="AC58" s="210">
        <v>-3.8</v>
      </c>
      <c r="AD58" s="210">
        <v>2.2999999999999998</v>
      </c>
      <c r="AE58" s="75">
        <f>SUM(AA58:AD58)</f>
        <v>-1</v>
      </c>
      <c r="AG58" s="210">
        <v>-5</v>
      </c>
      <c r="AH58" s="289"/>
      <c r="AI58" s="289"/>
      <c r="AJ58" s="289"/>
      <c r="AK58" s="285"/>
      <c r="AM58" s="289"/>
      <c r="AN58" s="289"/>
      <c r="AO58" s="289"/>
      <c r="AP58" s="289"/>
      <c r="AQ58" s="285"/>
      <c r="AR58" s="163"/>
      <c r="AS58" s="163"/>
      <c r="AT58" s="163"/>
    </row>
    <row r="59" spans="1:144" s="53" customFormat="1" ht="12.75" customHeight="1" x14ac:dyDescent="0.2">
      <c r="A59" s="48" t="s">
        <v>152</v>
      </c>
      <c r="C59" s="79">
        <f t="shared" ref="C59" si="146">+SUM(C57:C58)</f>
        <v>-21.5</v>
      </c>
      <c r="D59" s="79">
        <f t="shared" ref="D59" si="147">+SUM(D57:D58)</f>
        <v>6.1</v>
      </c>
      <c r="E59" s="79">
        <f t="shared" ref="E59" si="148">+SUM(E57:E58)</f>
        <v>30.5</v>
      </c>
      <c r="F59" s="132">
        <f t="shared" ref="F59" si="149">+SUM(F57:F58)</f>
        <v>62.70000000000001</v>
      </c>
      <c r="G59" s="80">
        <f>+SUM(G57:G58)</f>
        <v>77.8</v>
      </c>
      <c r="H59" s="82"/>
      <c r="I59" s="79">
        <f t="shared" ref="I59" si="150">+SUM(I57:I58)</f>
        <v>-131.80000000000001</v>
      </c>
      <c r="J59" s="79">
        <f t="shared" ref="J59" si="151">+SUM(J57:J58)</f>
        <v>36.4</v>
      </c>
      <c r="K59" s="79">
        <f t="shared" ref="K59" si="152">+SUM(K57:K58)</f>
        <v>-34.799999999999997</v>
      </c>
      <c r="L59" s="132">
        <f t="shared" ref="L59" si="153">+SUM(L57:L58)</f>
        <v>88.000000000000014</v>
      </c>
      <c r="M59" s="80">
        <f>+SUM(M57:M58)</f>
        <v>-42.199999999999996</v>
      </c>
      <c r="N59" s="82"/>
      <c r="O59" s="79">
        <f t="shared" ref="O59" si="154">+SUM(O57:O58)</f>
        <v>-54.599999999999994</v>
      </c>
      <c r="P59" s="79">
        <f t="shared" ref="P59" si="155">+SUM(P57:P58)</f>
        <v>23.1</v>
      </c>
      <c r="Q59" s="79">
        <f t="shared" ref="Q59" si="156">+SUM(Q57:Q58)</f>
        <v>11</v>
      </c>
      <c r="R59" s="132">
        <f t="shared" ref="R59" si="157">+SUM(R57:R58)</f>
        <v>145.49999999999997</v>
      </c>
      <c r="S59" s="80">
        <f>+SUM(S57:S58)</f>
        <v>124.99999999999999</v>
      </c>
      <c r="U59" s="79">
        <f t="shared" ref="U59:X59" si="158">+SUM(U57:U58)</f>
        <v>-121.5</v>
      </c>
      <c r="V59" s="79">
        <f t="shared" si="158"/>
        <v>-11.8</v>
      </c>
      <c r="W59" s="79">
        <f t="shared" si="158"/>
        <v>158.70000000000002</v>
      </c>
      <c r="X59" s="79">
        <f t="shared" si="158"/>
        <v>110.89999999999999</v>
      </c>
      <c r="Y59" s="80">
        <f>+SUM(Y57:Y58)</f>
        <v>136.29999999999998</v>
      </c>
      <c r="AA59" s="79">
        <f t="shared" ref="AA59" si="159">+SUM(AA57:AA58)</f>
        <v>-22.3</v>
      </c>
      <c r="AB59" s="79">
        <f t="shared" ref="AB59:AD59" si="160">+SUM(AB57:AB58)</f>
        <v>-99.600000000000009</v>
      </c>
      <c r="AC59" s="79">
        <f t="shared" si="160"/>
        <v>145.79999999999998</v>
      </c>
      <c r="AD59" s="79">
        <f t="shared" si="160"/>
        <v>183.9</v>
      </c>
      <c r="AE59" s="80">
        <f>+SUM(AE57:AE58)</f>
        <v>207.79999999999998</v>
      </c>
      <c r="AG59" s="79">
        <f t="shared" ref="AG59" si="161">+SUM(AG57:AG58)</f>
        <v>-45.9</v>
      </c>
      <c r="AH59" s="282"/>
      <c r="AI59" s="282"/>
      <c r="AJ59" s="282"/>
      <c r="AK59" s="283"/>
      <c r="AM59" s="282"/>
      <c r="AN59" s="282"/>
      <c r="AO59" s="282"/>
      <c r="AP59" s="282"/>
      <c r="AQ59" s="283"/>
    </row>
    <row r="60" spans="1:144" s="162" customFormat="1" ht="12.75" customHeight="1" x14ac:dyDescent="0.2">
      <c r="A60" s="27"/>
      <c r="C60" s="87"/>
      <c r="D60" s="87"/>
      <c r="E60" s="87"/>
      <c r="F60" s="243"/>
      <c r="G60" s="88"/>
      <c r="H60" s="127"/>
      <c r="I60" s="87"/>
      <c r="J60" s="87"/>
      <c r="K60" s="87"/>
      <c r="L60" s="243"/>
      <c r="M60" s="88"/>
      <c r="N60" s="127"/>
      <c r="O60" s="87"/>
      <c r="P60" s="87"/>
      <c r="Q60" s="87"/>
      <c r="R60" s="243"/>
      <c r="S60" s="88"/>
      <c r="U60" s="87"/>
      <c r="V60" s="87"/>
      <c r="W60" s="87"/>
      <c r="X60" s="243"/>
      <c r="Y60" s="88"/>
      <c r="AA60" s="87"/>
      <c r="AB60" s="87"/>
      <c r="AC60" s="87"/>
      <c r="AD60" s="243"/>
      <c r="AE60" s="88"/>
      <c r="AG60" s="87"/>
      <c r="AH60" s="87"/>
      <c r="AI60" s="87"/>
      <c r="AJ60" s="243"/>
      <c r="AK60" s="88"/>
      <c r="AM60" s="87"/>
      <c r="AN60" s="87"/>
      <c r="AO60" s="87"/>
      <c r="AP60" s="243"/>
      <c r="AQ60" s="88"/>
    </row>
    <row r="61" spans="1:144" s="162" customFormat="1" ht="12.75" customHeight="1" x14ac:dyDescent="0.2">
      <c r="A61" s="1" t="s">
        <v>198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  <c r="AA61" s="1"/>
      <c r="AB61" s="1"/>
      <c r="AC61" s="1"/>
      <c r="AD61" s="1"/>
      <c r="AE61" s="36"/>
      <c r="AG61" s="1"/>
      <c r="AH61" s="1"/>
      <c r="AI61" s="1"/>
      <c r="AJ61" s="1"/>
      <c r="AK61" s="36"/>
      <c r="AM61" s="1"/>
      <c r="AN61" s="1"/>
      <c r="AO61" s="1"/>
      <c r="AP61" s="1"/>
      <c r="AQ61" s="36"/>
    </row>
    <row r="62" spans="1:144" s="162" customFormat="1" ht="12.75" customHeight="1" x14ac:dyDescent="0.2">
      <c r="A62" s="3" t="s">
        <v>143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3">
        <v>-17.3</v>
      </c>
      <c r="W62" s="3">
        <v>-14.4</v>
      </c>
      <c r="X62" s="3">
        <v>-49.1</v>
      </c>
      <c r="Y62" s="75">
        <f>SUM(U62:X62)</f>
        <v>-90.800000000000011</v>
      </c>
      <c r="AA62" s="227">
        <v>-28.3</v>
      </c>
      <c r="AB62" s="227">
        <v>-52.4</v>
      </c>
      <c r="AC62" s="227">
        <v>-44.2</v>
      </c>
      <c r="AD62" s="227">
        <v>-88.4</v>
      </c>
      <c r="AE62" s="75">
        <f>SUM(AA62:AD62)</f>
        <v>-213.3</v>
      </c>
      <c r="AG62" s="227">
        <v>-38.299999999999997</v>
      </c>
      <c r="AH62" s="227">
        <f>-42.1-6.8</f>
        <v>-48.9</v>
      </c>
      <c r="AI62" s="227">
        <v>-41</v>
      </c>
      <c r="AJ62" s="227">
        <v>-60.9</v>
      </c>
      <c r="AK62" s="75">
        <f>SUM(AG62:AJ62)</f>
        <v>-189.1</v>
      </c>
      <c r="AM62" s="227">
        <v>-31</v>
      </c>
      <c r="AN62" s="227"/>
      <c r="AO62" s="227"/>
      <c r="AP62" s="227"/>
      <c r="AQ62" s="75"/>
    </row>
    <row r="63" spans="1:144" s="162" customFormat="1" ht="12.75" customHeight="1" x14ac:dyDescent="0.2">
      <c r="A63" s="3" t="s">
        <v>142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V63" s="270">
        <v>-4</v>
      </c>
      <c r="W63" s="270">
        <v>-3.5</v>
      </c>
      <c r="X63" s="270">
        <v>-4.7</v>
      </c>
      <c r="Y63" s="75">
        <f>SUM(U63:X63)</f>
        <v>-16.600000000000001</v>
      </c>
      <c r="AA63" s="210">
        <v>-3.4</v>
      </c>
      <c r="AB63" s="270">
        <v>-3.3</v>
      </c>
      <c r="AC63" s="270">
        <v>-3.1</v>
      </c>
      <c r="AD63" s="270">
        <v>-4.5</v>
      </c>
      <c r="AE63" s="75">
        <f>SUM(AA63:AD63)</f>
        <v>-14.299999999999999</v>
      </c>
      <c r="AG63" s="210">
        <v>-5.2</v>
      </c>
      <c r="AH63" s="289"/>
      <c r="AI63" s="289"/>
      <c r="AJ63" s="289"/>
      <c r="AK63" s="285"/>
      <c r="AM63" s="289"/>
      <c r="AN63" s="289"/>
      <c r="AO63" s="289"/>
      <c r="AP63" s="289"/>
      <c r="AQ63" s="285"/>
    </row>
    <row r="64" spans="1:144" s="53" customFormat="1" ht="12.75" customHeight="1" x14ac:dyDescent="0.2">
      <c r="A64" s="48" t="s">
        <v>152</v>
      </c>
      <c r="C64" s="79">
        <f t="shared" ref="C64" si="162">+SUM(C62:C63)</f>
        <v>-13.5</v>
      </c>
      <c r="D64" s="79">
        <f t="shared" ref="D64" si="163">+SUM(D62:D63)</f>
        <v>-18.7</v>
      </c>
      <c r="E64" s="79">
        <f t="shared" ref="E64" si="164">+SUM(E62:E63)</f>
        <v>-14.4</v>
      </c>
      <c r="F64" s="132">
        <f t="shared" ref="F64" si="165">+SUM(F62:F63)</f>
        <v>-23.900000000000002</v>
      </c>
      <c r="G64" s="80">
        <f>+SUM(G62:G63)</f>
        <v>-70.5</v>
      </c>
      <c r="H64" s="82"/>
      <c r="I64" s="79">
        <f t="shared" ref="I64" si="166">+SUM(I62:I63)</f>
        <v>-9.6</v>
      </c>
      <c r="J64" s="79">
        <f t="shared" ref="J64" si="167">+SUM(J62:J63)</f>
        <v>-13.4</v>
      </c>
      <c r="K64" s="79">
        <f t="shared" ref="K64" si="168">+SUM(K62:K63)</f>
        <v>-11</v>
      </c>
      <c r="L64" s="132">
        <f t="shared" ref="L64" si="169">+SUM(L62:L63)</f>
        <v>-26.900000000000009</v>
      </c>
      <c r="M64" s="80">
        <f>+SUM(M62:M63)</f>
        <v>-60.900000000000006</v>
      </c>
      <c r="N64" s="82"/>
      <c r="O64" s="79">
        <f t="shared" ref="O64" si="170">+SUM(O62:O63)</f>
        <v>-9.6000000000000014</v>
      </c>
      <c r="P64" s="79">
        <f t="shared" ref="P64" si="171">+SUM(P62:P63)</f>
        <v>-20.9</v>
      </c>
      <c r="Q64" s="79">
        <f t="shared" ref="Q64" si="172">+SUM(Q62:Q63)</f>
        <v>-17.3</v>
      </c>
      <c r="R64" s="132">
        <f t="shared" ref="R64" si="173">+SUM(R62:R63)</f>
        <v>-21.200000000000003</v>
      </c>
      <c r="S64" s="80">
        <f>+SUM(S62:S63)</f>
        <v>-69</v>
      </c>
      <c r="U64" s="79">
        <f t="shared" ref="U64:X64" si="174">+SUM(U62:U63)</f>
        <v>-14.4</v>
      </c>
      <c r="V64" s="79">
        <f t="shared" si="174"/>
        <v>-21.3</v>
      </c>
      <c r="W64" s="79">
        <f t="shared" si="174"/>
        <v>-17.899999999999999</v>
      </c>
      <c r="X64" s="79">
        <f t="shared" si="174"/>
        <v>-53.800000000000004</v>
      </c>
      <c r="Y64" s="80">
        <f>+SUM(Y62:Y63)</f>
        <v>-107.4</v>
      </c>
      <c r="AA64" s="79">
        <f t="shared" ref="AA64" si="175">+SUM(AA62:AA63)</f>
        <v>-31.7</v>
      </c>
      <c r="AB64" s="79">
        <f t="shared" ref="AB64:AD64" si="176">+SUM(AB62:AB63)</f>
        <v>-55.699999999999996</v>
      </c>
      <c r="AC64" s="79">
        <f t="shared" si="176"/>
        <v>-47.300000000000004</v>
      </c>
      <c r="AD64" s="79">
        <f t="shared" si="176"/>
        <v>-92.9</v>
      </c>
      <c r="AE64" s="80">
        <f>+SUM(AE62:AE63)</f>
        <v>-227.60000000000002</v>
      </c>
      <c r="AG64" s="79">
        <f t="shared" ref="AG64" si="177">+SUM(AG62:AG63)</f>
        <v>-43.5</v>
      </c>
      <c r="AH64" s="282"/>
      <c r="AI64" s="282"/>
      <c r="AJ64" s="282"/>
      <c r="AK64" s="283"/>
      <c r="AM64" s="282"/>
      <c r="AN64" s="282"/>
      <c r="AO64" s="282"/>
      <c r="AP64" s="282"/>
      <c r="AQ64" s="283"/>
    </row>
    <row r="65" spans="1:144" s="162" customFormat="1" ht="12.75" customHeight="1" x14ac:dyDescent="0.2">
      <c r="A65" s="27"/>
      <c r="C65" s="87"/>
      <c r="D65" s="87"/>
      <c r="E65" s="87"/>
      <c r="F65" s="243"/>
      <c r="G65" s="88"/>
      <c r="H65" s="127"/>
      <c r="I65" s="87"/>
      <c r="J65" s="87"/>
      <c r="K65" s="87"/>
      <c r="L65" s="243"/>
      <c r="M65" s="88"/>
      <c r="N65" s="127"/>
      <c r="O65" s="87"/>
      <c r="P65" s="87"/>
      <c r="Q65" s="87"/>
      <c r="R65" s="243"/>
      <c r="S65" s="88"/>
      <c r="U65" s="87"/>
      <c r="V65" s="87"/>
      <c r="W65" s="87"/>
      <c r="X65" s="243"/>
      <c r="Y65" s="88"/>
      <c r="AA65" s="87"/>
      <c r="AB65" s="87"/>
      <c r="AC65" s="87"/>
      <c r="AD65" s="243"/>
      <c r="AE65" s="88"/>
      <c r="AG65" s="87"/>
      <c r="AH65" s="87"/>
      <c r="AI65" s="87"/>
      <c r="AJ65" s="243"/>
      <c r="AK65" s="88"/>
      <c r="AM65" s="87"/>
      <c r="AN65" s="87"/>
      <c r="AO65" s="87"/>
      <c r="AP65" s="243"/>
      <c r="AQ65" s="88"/>
    </row>
    <row r="66" spans="1:144" s="162" customFormat="1" ht="12.75" customHeight="1" x14ac:dyDescent="0.2">
      <c r="A66" s="1" t="s">
        <v>199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  <c r="AA66" s="1"/>
      <c r="AB66" s="1"/>
      <c r="AC66" s="1"/>
      <c r="AD66" s="1"/>
      <c r="AE66" s="36"/>
      <c r="AG66" s="1"/>
      <c r="AH66" s="1"/>
      <c r="AI66" s="1"/>
      <c r="AJ66" s="1"/>
      <c r="AK66" s="36"/>
      <c r="AM66" s="1"/>
      <c r="AN66" s="1"/>
      <c r="AO66" s="1"/>
      <c r="AP66" s="1"/>
      <c r="AQ66" s="36"/>
    </row>
    <row r="67" spans="1:144" s="162" customFormat="1" ht="12.75" customHeight="1" x14ac:dyDescent="0.2">
      <c r="A67" s="3" t="s">
        <v>143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>
        <f t="shared" ref="V67:X68" si="178">+V57+V62</f>
        <v>-27.3</v>
      </c>
      <c r="W67" s="227">
        <f t="shared" si="178"/>
        <v>144.4</v>
      </c>
      <c r="X67" s="227">
        <f t="shared" si="178"/>
        <v>55.999999999999993</v>
      </c>
      <c r="Y67" s="75">
        <f>SUM(U67:X67)</f>
        <v>44.799999999999976</v>
      </c>
      <c r="AA67" s="227">
        <f t="shared" ref="AA67:AD67" si="179">+AA57+AA62</f>
        <v>-51</v>
      </c>
      <c r="AB67" s="227">
        <f t="shared" si="179"/>
        <v>-152.1</v>
      </c>
      <c r="AC67" s="227">
        <f t="shared" si="179"/>
        <v>105.39999999999999</v>
      </c>
      <c r="AD67" s="227">
        <f t="shared" si="179"/>
        <v>93.199999999999989</v>
      </c>
      <c r="AE67" s="75">
        <f>SUM(AA67:AD67)</f>
        <v>-4.5000000000000142</v>
      </c>
      <c r="AG67" s="227">
        <f t="shared" ref="AG67:AJ67" si="180">+AG57+AG62</f>
        <v>-79.199999999999989</v>
      </c>
      <c r="AH67" s="227">
        <f>+AH57+AH62</f>
        <v>88.1</v>
      </c>
      <c r="AI67" s="227">
        <v>-41.4</v>
      </c>
      <c r="AJ67" s="227">
        <f t="shared" si="180"/>
        <v>141.6</v>
      </c>
      <c r="AK67" s="75">
        <f>SUM(AG67:AJ67)</f>
        <v>109.1</v>
      </c>
      <c r="AM67" s="227">
        <f t="shared" ref="AM67:AP68" si="181">+AM57+AM62</f>
        <v>-97.6</v>
      </c>
      <c r="AN67" s="227"/>
      <c r="AO67" s="227"/>
      <c r="AP67" s="227"/>
      <c r="AQ67" s="75"/>
    </row>
    <row r="68" spans="1:144" s="162" customFormat="1" ht="12.75" customHeight="1" x14ac:dyDescent="0.2">
      <c r="A68" s="3" t="s">
        <v>142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27">
        <f t="shared" si="178"/>
        <v>-5.8</v>
      </c>
      <c r="W68" s="227">
        <f t="shared" si="178"/>
        <v>-3.6</v>
      </c>
      <c r="X68" s="227">
        <f t="shared" si="178"/>
        <v>1.0999999999999996</v>
      </c>
      <c r="Y68" s="75">
        <f>SUM(U68:X68)</f>
        <v>-15.9</v>
      </c>
      <c r="AA68" s="227">
        <f t="shared" ref="AA68:AD68" si="182">+AA58+AA63</f>
        <v>-3</v>
      </c>
      <c r="AB68" s="227">
        <f t="shared" si="182"/>
        <v>-3.1999999999999997</v>
      </c>
      <c r="AC68" s="227">
        <f t="shared" si="182"/>
        <v>-6.9</v>
      </c>
      <c r="AD68" s="227">
        <f t="shared" si="182"/>
        <v>-2.2000000000000002</v>
      </c>
      <c r="AE68" s="75">
        <f>SUM(AA68:AD68)</f>
        <v>-15.3</v>
      </c>
      <c r="AG68" s="227">
        <f t="shared" ref="AG68" si="183">+AG58+AG63</f>
        <v>-10.199999999999999</v>
      </c>
      <c r="AH68" s="292"/>
      <c r="AI68" s="292"/>
      <c r="AJ68" s="292"/>
      <c r="AK68" s="285"/>
      <c r="AM68" s="292"/>
      <c r="AN68" s="292"/>
      <c r="AO68" s="292"/>
      <c r="AP68" s="292"/>
      <c r="AQ68" s="285"/>
    </row>
    <row r="69" spans="1:144" s="53" customFormat="1" ht="12.75" customHeight="1" x14ac:dyDescent="0.2">
      <c r="A69" s="48" t="s">
        <v>152</v>
      </c>
      <c r="C69" s="79">
        <f t="shared" ref="C69" si="184">+SUM(C67:C68)</f>
        <v>-35</v>
      </c>
      <c r="D69" s="79">
        <f t="shared" ref="D69" si="185">+SUM(D67:D68)</f>
        <v>-12.6</v>
      </c>
      <c r="E69" s="79">
        <f t="shared" ref="E69" si="186">+SUM(E67:E68)</f>
        <v>16.100000000000001</v>
      </c>
      <c r="F69" s="132">
        <f t="shared" ref="F69" si="187">+SUM(F67:F68)</f>
        <v>38.799999999999997</v>
      </c>
      <c r="G69" s="80">
        <f>+SUM(G67:G68)</f>
        <v>7.3000000000000025</v>
      </c>
      <c r="H69" s="82"/>
      <c r="I69" s="79">
        <f t="shared" ref="I69" si="188">+SUM(I67:I68)</f>
        <v>-141.4</v>
      </c>
      <c r="J69" s="79">
        <f t="shared" ref="J69" si="189">+SUM(J67:J68)</f>
        <v>23</v>
      </c>
      <c r="K69" s="79">
        <f t="shared" ref="K69" si="190">+SUM(K67:K68)</f>
        <v>-45.800000000000004</v>
      </c>
      <c r="L69" s="132">
        <f t="shared" ref="L69" si="191">+SUM(L67:L68)</f>
        <v>61.1</v>
      </c>
      <c r="M69" s="80">
        <f>+SUM(M67:M68)</f>
        <v>-103.10000000000001</v>
      </c>
      <c r="N69" s="82"/>
      <c r="O69" s="79">
        <f t="shared" ref="O69" si="192">+SUM(O67:O68)</f>
        <v>-64.2</v>
      </c>
      <c r="P69" s="79">
        <f t="shared" ref="P69" si="193">+SUM(P67:P68)</f>
        <v>2.2000000000000011</v>
      </c>
      <c r="Q69" s="79">
        <f t="shared" ref="Q69" si="194">+SUM(Q67:Q68)</f>
        <v>-6.2999999999999989</v>
      </c>
      <c r="R69" s="132">
        <f t="shared" ref="R69" si="195">+SUM(R67:R68)</f>
        <v>124.29999999999998</v>
      </c>
      <c r="S69" s="80">
        <f>+SUM(S67:S68)</f>
        <v>55.999999999999986</v>
      </c>
      <c r="U69" s="79">
        <f t="shared" ref="U69:V69" si="196">+SUM(U67:U68)</f>
        <v>-135.9</v>
      </c>
      <c r="V69" s="79">
        <f t="shared" si="196"/>
        <v>-33.1</v>
      </c>
      <c r="W69" s="79">
        <f>+SUM(W67:W68)</f>
        <v>140.80000000000001</v>
      </c>
      <c r="X69" s="79">
        <f>+SUM(X67:X68)</f>
        <v>57.099999999999994</v>
      </c>
      <c r="Y69" s="80">
        <f>+SUM(Y67:Y68)</f>
        <v>28.899999999999977</v>
      </c>
      <c r="AA69" s="79">
        <f t="shared" ref="AA69" si="197">+SUM(AA67:AA68)</f>
        <v>-54</v>
      </c>
      <c r="AB69" s="79">
        <f t="shared" ref="AB69:AD69" si="198">+SUM(AB67:AB68)</f>
        <v>-155.29999999999998</v>
      </c>
      <c r="AC69" s="79">
        <f t="shared" si="198"/>
        <v>98.499999999999986</v>
      </c>
      <c r="AD69" s="79">
        <f t="shared" si="198"/>
        <v>90.999999999999986</v>
      </c>
      <c r="AE69" s="80">
        <f>+SUM(AE67:AE68)</f>
        <v>-19.800000000000015</v>
      </c>
      <c r="AG69" s="79">
        <f t="shared" ref="AG69" si="199">+SUM(AG67:AG68)</f>
        <v>-89.399999999999991</v>
      </c>
      <c r="AH69" s="282"/>
      <c r="AI69" s="282"/>
      <c r="AJ69" s="282"/>
      <c r="AK69" s="283"/>
      <c r="AM69" s="282"/>
      <c r="AN69" s="282"/>
      <c r="AO69" s="282"/>
      <c r="AP69" s="282"/>
      <c r="AQ69" s="283"/>
    </row>
    <row r="70" spans="1:144" s="1" customFormat="1" ht="12.75" customHeight="1" x14ac:dyDescent="0.2">
      <c r="B70" s="5"/>
      <c r="G70" s="36"/>
      <c r="M70" s="36"/>
      <c r="S70" s="36"/>
      <c r="Y70" s="36"/>
      <c r="AE70" s="36"/>
      <c r="AK70" s="36"/>
      <c r="AQ70" s="36"/>
      <c r="EN70" s="4"/>
    </row>
    <row r="71" spans="1:144" s="1" customFormat="1" ht="12.75" customHeight="1" x14ac:dyDescent="0.2">
      <c r="A71" s="1" t="s">
        <v>190</v>
      </c>
      <c r="B71" s="5"/>
      <c r="G71" s="36"/>
      <c r="M71" s="36"/>
      <c r="S71" s="36"/>
      <c r="Y71" s="36"/>
      <c r="AE71" s="36"/>
      <c r="AK71" s="36"/>
      <c r="AQ71" s="36"/>
      <c r="EN71" s="4"/>
    </row>
    <row r="72" spans="1:144" s="1" customFormat="1" ht="12.75" customHeight="1" x14ac:dyDescent="0.2">
      <c r="A72" s="3" t="s">
        <v>182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>
        <v>-62.5</v>
      </c>
      <c r="W72" s="31">
        <v>-194.1</v>
      </c>
      <c r="X72" s="122">
        <v>-196.8</v>
      </c>
      <c r="Y72" s="75">
        <v>-196.8</v>
      </c>
      <c r="AA72" s="31">
        <v>-111.3</v>
      </c>
      <c r="AB72" s="31">
        <v>5.4</v>
      </c>
      <c r="AC72" s="31">
        <v>-81.5</v>
      </c>
      <c r="AD72" s="122">
        <v>-152.80000000000001</v>
      </c>
      <c r="AE72" s="75">
        <f>+AD72</f>
        <v>-152.80000000000001</v>
      </c>
      <c r="AG72" s="31">
        <v>-86.5</v>
      </c>
      <c r="AH72" s="31">
        <v>-295.5</v>
      </c>
      <c r="AI72" s="31">
        <v>-345.8</v>
      </c>
      <c r="AJ72" s="122">
        <v>-437.2</v>
      </c>
      <c r="AK72" s="75">
        <f>+AJ72</f>
        <v>-437.2</v>
      </c>
      <c r="AM72" s="31">
        <v>-330.1</v>
      </c>
      <c r="AN72" s="31"/>
      <c r="AO72" s="31"/>
      <c r="AP72" s="122"/>
      <c r="AQ72" s="75"/>
      <c r="EN72" s="4"/>
    </row>
    <row r="73" spans="1:144" ht="12.75" customHeight="1" x14ac:dyDescent="0.2">
      <c r="A73" s="2" t="s">
        <v>183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200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201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202">+R73</f>
        <v>17.5</v>
      </c>
      <c r="U73" s="31">
        <v>76</v>
      </c>
      <c r="V73" s="31">
        <v>67.7</v>
      </c>
      <c r="W73" s="31">
        <v>57.9</v>
      </c>
      <c r="X73" s="122">
        <v>40.200000000000003</v>
      </c>
      <c r="Y73" s="75">
        <v>40.200000000000003</v>
      </c>
      <c r="AA73" s="31">
        <v>65.5</v>
      </c>
      <c r="AB73" s="31">
        <v>108.9</v>
      </c>
      <c r="AC73" s="31">
        <v>98.8</v>
      </c>
      <c r="AD73" s="122">
        <v>64.3</v>
      </c>
      <c r="AE73" s="75">
        <f t="shared" ref="AE73:AE79" si="203">+AD73</f>
        <v>64.3</v>
      </c>
      <c r="AG73" s="31">
        <v>108.9</v>
      </c>
      <c r="AH73" s="31">
        <v>72.2</v>
      </c>
      <c r="AI73" s="31">
        <v>102.7</v>
      </c>
      <c r="AJ73" s="122">
        <v>89.7</v>
      </c>
      <c r="AK73" s="75">
        <f t="shared" ref="AK73:AK76" si="204">+AJ73</f>
        <v>89.7</v>
      </c>
      <c r="AM73" s="31">
        <v>114.6</v>
      </c>
      <c r="AN73" s="31"/>
      <c r="AO73" s="31"/>
      <c r="AP73" s="122"/>
      <c r="AQ73" s="75"/>
    </row>
    <row r="74" spans="1:144" ht="12.75" customHeight="1" x14ac:dyDescent="0.2">
      <c r="A74" s="2" t="s">
        <v>184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200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201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202"/>
        <v>10.4</v>
      </c>
      <c r="U74" s="31">
        <v>9.3000000000000007</v>
      </c>
      <c r="V74" s="31">
        <v>9.9</v>
      </c>
      <c r="W74" s="31">
        <v>14.5</v>
      </c>
      <c r="X74" s="122">
        <v>13.2</v>
      </c>
      <c r="Y74" s="75">
        <v>13.2</v>
      </c>
      <c r="AA74" s="31">
        <v>3.3</v>
      </c>
      <c r="AB74" s="31">
        <v>15</v>
      </c>
      <c r="AC74" s="31">
        <v>15.8</v>
      </c>
      <c r="AD74" s="122">
        <v>22.6</v>
      </c>
      <c r="AE74" s="75">
        <f t="shared" si="203"/>
        <v>22.6</v>
      </c>
      <c r="AG74" s="31">
        <v>26.3</v>
      </c>
      <c r="AH74" s="31">
        <v>28.9</v>
      </c>
      <c r="AI74" s="31">
        <v>29.5</v>
      </c>
      <c r="AJ74" s="122">
        <v>36.200000000000003</v>
      </c>
      <c r="AK74" s="75">
        <f t="shared" si="204"/>
        <v>36.200000000000003</v>
      </c>
      <c r="AM74" s="31">
        <v>36.9</v>
      </c>
      <c r="AN74" s="31"/>
      <c r="AO74" s="31"/>
      <c r="AP74" s="122"/>
      <c r="AQ74" s="75"/>
    </row>
    <row r="75" spans="1:144" ht="12.75" customHeight="1" x14ac:dyDescent="0.2">
      <c r="A75" s="47" t="s">
        <v>191</v>
      </c>
      <c r="B75" s="47"/>
      <c r="C75" s="77">
        <v>-8.1999999999999993</v>
      </c>
      <c r="D75" s="77">
        <v>-5.2</v>
      </c>
      <c r="E75" s="77">
        <v>6.9</v>
      </c>
      <c r="F75" s="238">
        <v>-1.9</v>
      </c>
      <c r="G75" s="78">
        <f t="shared" si="200"/>
        <v>-1.9</v>
      </c>
      <c r="H75" s="31"/>
      <c r="I75" s="77">
        <v>-4.0999999999999996</v>
      </c>
      <c r="J75" s="77">
        <v>12.6</v>
      </c>
      <c r="K75" s="77">
        <v>15.1</v>
      </c>
      <c r="L75" s="238">
        <v>35.799999999999997</v>
      </c>
      <c r="M75" s="78">
        <f t="shared" si="201"/>
        <v>35.799999999999997</v>
      </c>
      <c r="N75" s="31"/>
      <c r="O75" s="77">
        <v>15.2</v>
      </c>
      <c r="P75" s="77">
        <v>20</v>
      </c>
      <c r="Q75" s="77">
        <v>-5.0999999999999996</v>
      </c>
      <c r="R75" s="238">
        <v>-7.1</v>
      </c>
      <c r="S75" s="78">
        <f t="shared" si="202"/>
        <v>-7.1</v>
      </c>
      <c r="U75" s="77">
        <v>-14.1</v>
      </c>
      <c r="V75" s="77">
        <v>-12.199999999999998</v>
      </c>
      <c r="W75" s="77">
        <v>-8.6999999999999993</v>
      </c>
      <c r="X75" s="238">
        <v>-21.1</v>
      </c>
      <c r="Y75" s="78">
        <v>-21.1</v>
      </c>
      <c r="AA75" s="77">
        <v>-22.7</v>
      </c>
      <c r="AB75" s="77">
        <v>-16.5</v>
      </c>
      <c r="AC75" s="77">
        <v>-26.5</v>
      </c>
      <c r="AD75" s="238">
        <v>-27.3</v>
      </c>
      <c r="AE75" s="78">
        <f t="shared" si="203"/>
        <v>-27.3</v>
      </c>
      <c r="AG75" s="77">
        <v>-14.1</v>
      </c>
      <c r="AH75" s="77">
        <v>-17.3</v>
      </c>
      <c r="AI75" s="77">
        <v>11.2</v>
      </c>
      <c r="AJ75" s="238">
        <v>8.3000000000000007</v>
      </c>
      <c r="AK75" s="78">
        <f t="shared" si="204"/>
        <v>8.3000000000000007</v>
      </c>
      <c r="AM75" s="77">
        <v>19.899999999999999</v>
      </c>
      <c r="AN75" s="77"/>
      <c r="AO75" s="77"/>
      <c r="AP75" s="238"/>
      <c r="AQ75" s="78"/>
    </row>
    <row r="76" spans="1:144" s="53" customFormat="1" ht="12.75" customHeight="1" x14ac:dyDescent="0.2">
      <c r="A76" s="48" t="s">
        <v>143</v>
      </c>
      <c r="C76" s="79">
        <f>+SUM(C72:C75)</f>
        <v>-35.200000000000003</v>
      </c>
      <c r="D76" s="79">
        <f t="shared" ref="D76" si="205">+SUM(D72:D75)</f>
        <v>-30.6</v>
      </c>
      <c r="E76" s="79">
        <f t="shared" ref="E76" si="206">+SUM(E72:E75)</f>
        <v>-37.599999999999994</v>
      </c>
      <c r="F76" s="132">
        <f t="shared" ref="F76" si="207">+SUM(F72:F75)</f>
        <v>-106.5</v>
      </c>
      <c r="G76" s="80">
        <f t="shared" si="200"/>
        <v>-106.5</v>
      </c>
      <c r="H76" s="82"/>
      <c r="I76" s="79">
        <f>+SUM(I72:I75)</f>
        <v>28.699999999999996</v>
      </c>
      <c r="J76" s="79">
        <f t="shared" ref="J76" si="208">+SUM(J72:J75)</f>
        <v>14.799999999999995</v>
      </c>
      <c r="K76" s="79">
        <f t="shared" ref="K76" si="209">+SUM(K72:K75)</f>
        <v>61.2</v>
      </c>
      <c r="L76" s="132">
        <f t="shared" ref="L76" si="210">+SUM(L72:L75)</f>
        <v>-16.200000000000003</v>
      </c>
      <c r="M76" s="80">
        <f t="shared" si="201"/>
        <v>-16.200000000000003</v>
      </c>
      <c r="N76" s="82"/>
      <c r="O76" s="79">
        <f>+SUM(O72:O75)</f>
        <v>24.799999999999994</v>
      </c>
      <c r="P76" s="79">
        <f t="shared" ref="P76" si="211">+SUM(P72:P75)</f>
        <v>4.0000000000000036</v>
      </c>
      <c r="Q76" s="79">
        <f t="shared" ref="Q76" si="212">+SUM(Q72:Q75)</f>
        <v>-4.6999999999999904</v>
      </c>
      <c r="R76" s="132">
        <f t="shared" ref="R76" si="213">+SUM(R72:R75)</f>
        <v>-146.29999999999998</v>
      </c>
      <c r="S76" s="80">
        <f t="shared" si="202"/>
        <v>-146.29999999999998</v>
      </c>
      <c r="U76" s="79">
        <f>+SUM(U72:U75)</f>
        <v>-59.300000000000004</v>
      </c>
      <c r="V76" s="79">
        <f>+SUM(V72:V75)</f>
        <v>2.9000000000000057</v>
      </c>
      <c r="W76" s="79">
        <f>+SUM(W72:W75)</f>
        <v>-130.39999999999998</v>
      </c>
      <c r="X76" s="79">
        <f>+SUM(X72:X75)</f>
        <v>-164.50000000000003</v>
      </c>
      <c r="Y76" s="80">
        <f>+SUM(Y72:Y75)</f>
        <v>-164.50000000000003</v>
      </c>
      <c r="AA76" s="79">
        <f>+SUM(AA72:AA75)</f>
        <v>-65.2</v>
      </c>
      <c r="AB76" s="79">
        <f t="shared" ref="AB76:AD76" si="214">+SUM(AB72:AB75)</f>
        <v>112.80000000000001</v>
      </c>
      <c r="AC76" s="79">
        <f t="shared" si="214"/>
        <v>6.5999999999999943</v>
      </c>
      <c r="AD76" s="79">
        <f t="shared" si="214"/>
        <v>-93.2</v>
      </c>
      <c r="AE76" s="80">
        <f t="shared" si="203"/>
        <v>-93.2</v>
      </c>
      <c r="AG76" s="79">
        <f>+SUM(AG72:AG75)</f>
        <v>34.6</v>
      </c>
      <c r="AH76" s="79">
        <f t="shared" ref="AH76:AJ76" si="215">+SUM(AH72:AH75)</f>
        <v>-211.70000000000002</v>
      </c>
      <c r="AI76" s="79">
        <f t="shared" si="215"/>
        <v>-202.40000000000003</v>
      </c>
      <c r="AJ76" s="79">
        <f t="shared" si="215"/>
        <v>-303</v>
      </c>
      <c r="AK76" s="80">
        <f t="shared" si="204"/>
        <v>-303</v>
      </c>
      <c r="AM76" s="79">
        <f>+SUM(AM72:AM75)</f>
        <v>-158.70000000000002</v>
      </c>
      <c r="AN76" s="79"/>
      <c r="AO76" s="79"/>
      <c r="AP76" s="79"/>
      <c r="AQ76" s="80"/>
    </row>
    <row r="77" spans="1:144" ht="12.75" customHeight="1" x14ac:dyDescent="0.2">
      <c r="A77" s="2" t="s">
        <v>142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200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201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202"/>
        <v>28.2</v>
      </c>
      <c r="U77" s="31">
        <v>29.3</v>
      </c>
      <c r="V77" s="31">
        <v>30.8</v>
      </c>
      <c r="W77" s="31">
        <v>30.9</v>
      </c>
      <c r="X77" s="122">
        <v>27.4</v>
      </c>
      <c r="Y77" s="75">
        <v>27.4</v>
      </c>
      <c r="AA77" s="31">
        <v>26.3</v>
      </c>
      <c r="AB77" s="31">
        <v>25.8</v>
      </c>
      <c r="AC77" s="31">
        <v>31.8</v>
      </c>
      <c r="AD77" s="122">
        <v>33.6</v>
      </c>
      <c r="AE77" s="75">
        <f t="shared" si="203"/>
        <v>33.6</v>
      </c>
      <c r="AG77" s="31">
        <v>31.2</v>
      </c>
      <c r="AH77" s="281"/>
      <c r="AI77" s="281"/>
      <c r="AJ77" s="281"/>
      <c r="AK77" s="281"/>
      <c r="AM77" s="281"/>
      <c r="AN77" s="281"/>
      <c r="AO77" s="281"/>
      <c r="AP77" s="281"/>
      <c r="AQ77" s="281"/>
    </row>
    <row r="78" spans="1:144" ht="12.75" customHeight="1" x14ac:dyDescent="0.2">
      <c r="A78" s="2" t="s">
        <v>191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200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201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202"/>
        <v>0</v>
      </c>
      <c r="U78" s="31">
        <v>0</v>
      </c>
      <c r="V78" s="31">
        <v>0</v>
      </c>
      <c r="W78" s="31">
        <v>0</v>
      </c>
      <c r="X78" s="122">
        <v>0</v>
      </c>
      <c r="Y78" s="75">
        <v>0</v>
      </c>
      <c r="AA78" s="31">
        <v>0</v>
      </c>
      <c r="AB78" s="31">
        <v>0</v>
      </c>
      <c r="AC78" s="31">
        <v>0</v>
      </c>
      <c r="AD78" s="122">
        <v>0</v>
      </c>
      <c r="AE78" s="75">
        <f t="shared" si="203"/>
        <v>0</v>
      </c>
      <c r="AG78" s="31">
        <v>0</v>
      </c>
      <c r="AH78" s="281"/>
      <c r="AI78" s="281"/>
      <c r="AJ78" s="281"/>
      <c r="AK78" s="281"/>
      <c r="AM78" s="281"/>
      <c r="AN78" s="281"/>
      <c r="AO78" s="281"/>
      <c r="AP78" s="281"/>
      <c r="AQ78" s="281"/>
    </row>
    <row r="79" spans="1:144" s="53" customFormat="1" ht="12.75" customHeight="1" x14ac:dyDescent="0.2">
      <c r="A79" s="48" t="s">
        <v>152</v>
      </c>
      <c r="C79" s="79">
        <f>+SUM(C76:C78)</f>
        <v>-23.000000000000004</v>
      </c>
      <c r="D79" s="79">
        <f t="shared" ref="D79:X79" si="216">+SUM(D76:D78)</f>
        <v>-14.400000000000002</v>
      </c>
      <c r="E79" s="79">
        <f t="shared" si="216"/>
        <v>-20.599999999999994</v>
      </c>
      <c r="F79" s="132">
        <f t="shared" si="216"/>
        <v>-83.5</v>
      </c>
      <c r="G79" s="80">
        <f t="shared" si="216"/>
        <v>-83.5</v>
      </c>
      <c r="H79" s="82"/>
      <c r="I79" s="79">
        <f t="shared" si="216"/>
        <v>48.3</v>
      </c>
      <c r="J79" s="79">
        <f t="shared" si="216"/>
        <v>37.299999999999997</v>
      </c>
      <c r="K79" s="79">
        <f t="shared" si="216"/>
        <v>82.1</v>
      </c>
      <c r="L79" s="132">
        <f t="shared" si="216"/>
        <v>7.6999999999999975</v>
      </c>
      <c r="M79" s="80">
        <f t="shared" si="216"/>
        <v>7.6999999999999975</v>
      </c>
      <c r="N79" s="82"/>
      <c r="O79" s="79">
        <f t="shared" si="216"/>
        <v>51.399999999999991</v>
      </c>
      <c r="P79" s="79">
        <f t="shared" si="216"/>
        <v>30.900000000000002</v>
      </c>
      <c r="Q79" s="79">
        <f t="shared" si="216"/>
        <v>23.100000000000009</v>
      </c>
      <c r="R79" s="132">
        <f t="shared" si="216"/>
        <v>-118.09999999999998</v>
      </c>
      <c r="S79" s="80">
        <f t="shared" si="216"/>
        <v>-118.09999999999998</v>
      </c>
      <c r="U79" s="79">
        <f t="shared" si="216"/>
        <v>-30.000000000000004</v>
      </c>
      <c r="V79" s="79">
        <f t="shared" si="216"/>
        <v>33.700000000000003</v>
      </c>
      <c r="W79" s="79">
        <f t="shared" si="216"/>
        <v>-99.499999999999972</v>
      </c>
      <c r="X79" s="132">
        <f t="shared" si="216"/>
        <v>-137.10000000000002</v>
      </c>
      <c r="Y79" s="80">
        <f t="shared" ref="Y79" si="217">+SUM(Y76:Y78)</f>
        <v>-137.10000000000002</v>
      </c>
      <c r="AA79" s="79">
        <f t="shared" ref="AA79" si="218">+SUM(AA76:AA78)</f>
        <v>-38.900000000000006</v>
      </c>
      <c r="AB79" s="79">
        <f t="shared" ref="AB79:AD79" si="219">+SUM(AB76:AB78)</f>
        <v>138.60000000000002</v>
      </c>
      <c r="AC79" s="79">
        <f t="shared" si="219"/>
        <v>38.399999999999991</v>
      </c>
      <c r="AD79" s="132">
        <f t="shared" si="219"/>
        <v>-59.6</v>
      </c>
      <c r="AE79" s="80">
        <f t="shared" si="203"/>
        <v>-59.6</v>
      </c>
      <c r="AG79" s="79">
        <f t="shared" ref="AG79" si="220">+SUM(AG76:AG78)</f>
        <v>65.8</v>
      </c>
      <c r="AH79" s="282"/>
      <c r="AI79" s="282"/>
      <c r="AJ79" s="282"/>
      <c r="AK79" s="282"/>
      <c r="AM79" s="282"/>
      <c r="AN79" s="282"/>
      <c r="AO79" s="282"/>
      <c r="AP79" s="282"/>
      <c r="AQ79" s="282"/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  <c r="AA80" s="31"/>
      <c r="AB80" s="31"/>
      <c r="AC80" s="31"/>
      <c r="AD80" s="122"/>
      <c r="AE80" s="75"/>
      <c r="AG80" s="31"/>
      <c r="AH80" s="31"/>
      <c r="AI80" s="31"/>
      <c r="AJ80" s="122"/>
      <c r="AK80" s="75"/>
      <c r="AM80" s="31"/>
      <c r="AN80" s="31"/>
      <c r="AO80" s="31"/>
      <c r="AP80" s="122"/>
      <c r="AQ80" s="75"/>
    </row>
    <row r="81" spans="1:45" ht="12.75" customHeight="1" x14ac:dyDescent="0.2">
      <c r="A81" s="1" t="s">
        <v>196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  <c r="AA81" s="1"/>
      <c r="AB81" s="1"/>
      <c r="AC81" s="1"/>
      <c r="AD81" s="1"/>
      <c r="AE81" s="36"/>
      <c r="AG81" s="1"/>
      <c r="AH81" s="1"/>
      <c r="AI81" s="1"/>
      <c r="AJ81" s="1"/>
      <c r="AK81" s="36"/>
      <c r="AM81" s="1"/>
      <c r="AN81" s="1"/>
      <c r="AO81" s="1"/>
      <c r="AP81" s="1"/>
      <c r="AQ81" s="36"/>
    </row>
    <row r="82" spans="1:45" ht="12.75" customHeight="1" x14ac:dyDescent="0.2">
      <c r="A82" s="3" t="s">
        <v>182</v>
      </c>
      <c r="B82" s="1"/>
      <c r="C82" s="257"/>
      <c r="D82" s="257"/>
      <c r="E82" s="257"/>
      <c r="F82" s="258"/>
      <c r="G82" s="259"/>
      <c r="H82" s="1"/>
      <c r="I82" s="10">
        <v>0.06</v>
      </c>
      <c r="J82" s="10">
        <v>0.12</v>
      </c>
      <c r="K82" s="10">
        <v>0</v>
      </c>
      <c r="L82" s="258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10">
        <v>0.21</v>
      </c>
      <c r="W82" s="10">
        <v>0.47</v>
      </c>
      <c r="X82" s="10">
        <v>0.06</v>
      </c>
      <c r="Y82" s="271">
        <v>0.26</v>
      </c>
      <c r="AA82" s="10">
        <v>0.27</v>
      </c>
      <c r="AB82" s="10">
        <v>0.19</v>
      </c>
      <c r="AC82" s="10">
        <v>0.05</v>
      </c>
      <c r="AD82" s="10">
        <v>-0.1</v>
      </c>
      <c r="AE82" s="271">
        <v>0.09</v>
      </c>
      <c r="AG82" s="10">
        <v>-0.04</v>
      </c>
      <c r="AH82" s="10">
        <v>0.22</v>
      </c>
      <c r="AI82" s="10">
        <v>0.1</v>
      </c>
      <c r="AJ82" s="10">
        <v>0.6</v>
      </c>
      <c r="AK82" s="271">
        <v>0.21</v>
      </c>
      <c r="AM82" s="10">
        <v>0.47</v>
      </c>
      <c r="AN82" s="10"/>
      <c r="AO82" s="10"/>
      <c r="AP82" s="10"/>
      <c r="AQ82" s="271"/>
    </row>
    <row r="83" spans="1:45" ht="12.75" customHeight="1" x14ac:dyDescent="0.2">
      <c r="A83" s="2" t="s">
        <v>183</v>
      </c>
      <c r="C83" s="257"/>
      <c r="D83" s="257"/>
      <c r="E83" s="257"/>
      <c r="F83" s="258"/>
      <c r="G83" s="259"/>
      <c r="I83" s="10">
        <v>0.04</v>
      </c>
      <c r="J83" s="10">
        <v>0.11</v>
      </c>
      <c r="K83" s="10">
        <v>-0.02</v>
      </c>
      <c r="L83" s="258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10">
        <v>0.1</v>
      </c>
      <c r="W83" s="10">
        <v>0.05</v>
      </c>
      <c r="X83" s="10">
        <v>-0.08</v>
      </c>
      <c r="Y83" s="271">
        <v>0.03</v>
      </c>
      <c r="AA83" s="10">
        <v>0.02</v>
      </c>
      <c r="AB83" s="10">
        <v>0.06</v>
      </c>
      <c r="AC83" s="10">
        <v>0.15</v>
      </c>
      <c r="AD83" s="10">
        <v>0.33</v>
      </c>
      <c r="AE83" s="271">
        <v>0.13</v>
      </c>
      <c r="AG83" s="10">
        <v>0.32</v>
      </c>
      <c r="AH83" s="10">
        <v>0.16</v>
      </c>
      <c r="AI83" s="10">
        <v>7.0000000000000007E-2</v>
      </c>
      <c r="AJ83" s="10">
        <v>0.25</v>
      </c>
      <c r="AK83" s="271">
        <v>0.19</v>
      </c>
      <c r="AM83" s="10">
        <v>0.32</v>
      </c>
      <c r="AN83" s="10"/>
      <c r="AO83" s="10"/>
      <c r="AP83" s="10"/>
      <c r="AQ83" s="271"/>
    </row>
    <row r="84" spans="1:45" ht="12.75" customHeight="1" x14ac:dyDescent="0.2">
      <c r="A84" s="2" t="s">
        <v>184</v>
      </c>
      <c r="C84" s="257"/>
      <c r="D84" s="257"/>
      <c r="E84" s="257"/>
      <c r="F84" s="258"/>
      <c r="G84" s="259"/>
      <c r="I84" s="10">
        <v>0.26</v>
      </c>
      <c r="J84" s="10">
        <v>0.19</v>
      </c>
      <c r="K84" s="10">
        <v>-0.01</v>
      </c>
      <c r="L84" s="258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10">
        <v>0.04</v>
      </c>
      <c r="W84" s="10">
        <v>0.34</v>
      </c>
      <c r="X84" s="10">
        <v>0.11</v>
      </c>
      <c r="Y84" s="271">
        <v>0.15</v>
      </c>
      <c r="AA84" s="10">
        <v>0.82</v>
      </c>
      <c r="AB84" s="10">
        <v>0.9</v>
      </c>
      <c r="AC84" s="10">
        <v>0.18</v>
      </c>
      <c r="AD84" s="10">
        <v>0.17</v>
      </c>
      <c r="AE84" s="271">
        <v>0.48</v>
      </c>
      <c r="AG84" s="10">
        <v>-0.16</v>
      </c>
      <c r="AH84" s="10">
        <v>-0.33</v>
      </c>
      <c r="AI84" s="10">
        <v>0.18</v>
      </c>
      <c r="AJ84" s="10">
        <v>0.01</v>
      </c>
      <c r="AK84" s="271">
        <v>-0.11</v>
      </c>
      <c r="AM84" s="10">
        <v>-0.16</v>
      </c>
      <c r="AN84" s="10"/>
      <c r="AO84" s="10"/>
      <c r="AP84" s="10"/>
      <c r="AQ84" s="271"/>
    </row>
    <row r="85" spans="1:45" s="53" customFormat="1" ht="12.75" customHeight="1" x14ac:dyDescent="0.2">
      <c r="A85" s="48" t="s">
        <v>143</v>
      </c>
      <c r="C85" s="251">
        <v>-0.08</v>
      </c>
      <c r="D85" s="251">
        <v>0.08</v>
      </c>
      <c r="E85" s="251">
        <v>0.24</v>
      </c>
      <c r="F85" s="252">
        <v>-0.01</v>
      </c>
      <c r="G85" s="253">
        <v>7.0000000000000007E-2</v>
      </c>
      <c r="H85" s="82"/>
      <c r="I85" s="251">
        <v>7.0000000000000007E-2</v>
      </c>
      <c r="J85" s="251">
        <v>0.12</v>
      </c>
      <c r="K85" s="251">
        <v>-0.01</v>
      </c>
      <c r="L85" s="252">
        <v>-0.16</v>
      </c>
      <c r="M85" s="253">
        <v>0</v>
      </c>
      <c r="N85" s="82"/>
      <c r="O85" s="251">
        <v>-0.16</v>
      </c>
      <c r="P85" s="251">
        <v>-0.17</v>
      </c>
      <c r="Q85" s="251">
        <v>-0.16</v>
      </c>
      <c r="R85" s="252">
        <v>0.16</v>
      </c>
      <c r="S85" s="253">
        <v>-0.1</v>
      </c>
      <c r="U85" s="251">
        <v>0.19</v>
      </c>
      <c r="V85" s="251">
        <v>0.15</v>
      </c>
      <c r="W85" s="251">
        <v>0.28000000000000003</v>
      </c>
      <c r="X85" s="251">
        <v>0.01</v>
      </c>
      <c r="Y85" s="272">
        <v>0.15</v>
      </c>
      <c r="AA85" s="251">
        <v>0.21</v>
      </c>
      <c r="AB85" s="251">
        <v>0.21</v>
      </c>
      <c r="AC85" s="251">
        <v>0.1</v>
      </c>
      <c r="AD85" s="251">
        <v>7.0000000000000007E-2</v>
      </c>
      <c r="AE85" s="272">
        <v>0.15</v>
      </c>
      <c r="AG85" s="251">
        <v>7.0000000000000007E-2</v>
      </c>
      <c r="AH85" s="251">
        <v>0.11</v>
      </c>
      <c r="AI85" s="251">
        <v>0.08</v>
      </c>
      <c r="AJ85" s="251">
        <v>0.35</v>
      </c>
      <c r="AK85" s="272">
        <v>0.15</v>
      </c>
      <c r="AM85" s="251">
        <v>0.34</v>
      </c>
      <c r="AN85" s="251"/>
      <c r="AO85" s="251"/>
      <c r="AP85" s="251"/>
      <c r="AQ85" s="272"/>
    </row>
    <row r="86" spans="1:45" s="236" customFormat="1" ht="12.75" customHeight="1" x14ac:dyDescent="0.2">
      <c r="A86" s="26" t="s">
        <v>142</v>
      </c>
      <c r="C86" s="254">
        <v>-0.18</v>
      </c>
      <c r="D86" s="254">
        <v>0.26</v>
      </c>
      <c r="E86" s="254">
        <v>0</v>
      </c>
      <c r="F86" s="255">
        <v>0.13</v>
      </c>
      <c r="G86" s="256">
        <v>7.0000000000000007E-2</v>
      </c>
      <c r="H86" s="237"/>
      <c r="I86" s="254">
        <v>0.18</v>
      </c>
      <c r="J86" s="254">
        <v>0.25</v>
      </c>
      <c r="K86" s="254">
        <v>0.21</v>
      </c>
      <c r="L86" s="255">
        <v>7.0000000000000007E-2</v>
      </c>
      <c r="M86" s="256">
        <v>0.16</v>
      </c>
      <c r="N86" s="237"/>
      <c r="O86" s="254">
        <v>0.17</v>
      </c>
      <c r="P86" s="254">
        <v>0.01</v>
      </c>
      <c r="Q86" s="254">
        <v>7.3999999999999996E-2</v>
      </c>
      <c r="R86" s="255">
        <v>0.15</v>
      </c>
      <c r="S86" s="256">
        <v>0.1</v>
      </c>
      <c r="U86" s="254">
        <v>-0.13</v>
      </c>
      <c r="V86" s="254">
        <v>-0.2</v>
      </c>
      <c r="W86" s="254">
        <v>0.03</v>
      </c>
      <c r="X86" s="254">
        <v>0.03</v>
      </c>
      <c r="Y86" s="273">
        <v>-0.06</v>
      </c>
      <c r="AA86" s="254">
        <v>0.26</v>
      </c>
      <c r="AB86" s="254">
        <v>0.28000000000000003</v>
      </c>
      <c r="AC86" s="254">
        <v>0.1</v>
      </c>
      <c r="AD86" s="254">
        <v>0.06</v>
      </c>
      <c r="AE86" s="273">
        <v>0.15</v>
      </c>
      <c r="AG86" s="254">
        <v>7.0000000000000007E-2</v>
      </c>
      <c r="AH86" s="293"/>
      <c r="AI86" s="293"/>
      <c r="AJ86" s="293"/>
      <c r="AK86" s="294"/>
      <c r="AM86" s="293"/>
      <c r="AN86" s="293"/>
      <c r="AO86" s="293"/>
      <c r="AP86" s="293"/>
      <c r="AQ86" s="294"/>
      <c r="AR86" s="299"/>
      <c r="AS86" s="299"/>
    </row>
    <row r="87" spans="1:45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  <c r="AA87" s="31"/>
      <c r="AB87" s="31"/>
      <c r="AC87" s="31"/>
      <c r="AD87" s="122"/>
      <c r="AE87" s="75"/>
      <c r="AG87" s="31"/>
      <c r="AH87" s="31"/>
      <c r="AI87" s="31"/>
      <c r="AJ87" s="122"/>
      <c r="AK87" s="75"/>
      <c r="AM87" s="31"/>
      <c r="AN87" s="31"/>
      <c r="AO87" s="31"/>
      <c r="AP87" s="122"/>
      <c r="AQ87" s="75"/>
    </row>
    <row r="88" spans="1:45" s="162" customFormat="1" ht="12.75" customHeight="1" x14ac:dyDescent="0.2">
      <c r="A88" s="27" t="s">
        <v>30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  <c r="AA88" s="127"/>
      <c r="AB88" s="138"/>
      <c r="AC88" s="138"/>
      <c r="AD88" s="127"/>
      <c r="AE88" s="139"/>
      <c r="AG88" s="127"/>
      <c r="AH88" s="138"/>
      <c r="AI88" s="138"/>
      <c r="AJ88" s="127"/>
      <c r="AK88" s="139"/>
      <c r="AM88" s="127"/>
      <c r="AN88" s="138"/>
      <c r="AO88" s="138"/>
      <c r="AP88" s="127"/>
      <c r="AQ88" s="139"/>
    </row>
    <row r="89" spans="1:45" s="162" customFormat="1" ht="12.75" customHeight="1" x14ac:dyDescent="0.2">
      <c r="A89" s="3" t="s">
        <v>143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>
        <v>1075.9000000000001</v>
      </c>
      <c r="W89" s="227">
        <v>937.1</v>
      </c>
      <c r="X89" s="227">
        <v>939.8</v>
      </c>
      <c r="Y89" s="75">
        <v>939.8</v>
      </c>
      <c r="AA89" s="227">
        <v>1029.7</v>
      </c>
      <c r="AB89" s="227">
        <v>1238.4000000000001</v>
      </c>
      <c r="AC89" s="227">
        <v>1109.4000000000001</v>
      </c>
      <c r="AD89" s="227">
        <v>1052.5999999999999</v>
      </c>
      <c r="AE89" s="75">
        <f>+AD89</f>
        <v>1052.5999999999999</v>
      </c>
      <c r="AG89" s="227">
        <v>1211.7</v>
      </c>
      <c r="AH89" s="227">
        <v>1124.7</v>
      </c>
      <c r="AI89" s="227">
        <v>1162</v>
      </c>
      <c r="AJ89" s="227">
        <v>951.1</v>
      </c>
      <c r="AK89" s="75">
        <f>+AJ89</f>
        <v>951.1</v>
      </c>
      <c r="AM89" s="227">
        <v>1220.4000000000001</v>
      </c>
      <c r="AN89" s="227"/>
      <c r="AO89" s="227"/>
      <c r="AP89" s="227"/>
      <c r="AQ89" s="75"/>
    </row>
    <row r="90" spans="1:45" ht="12.75" customHeight="1" x14ac:dyDescent="0.2">
      <c r="A90" s="3" t="s">
        <v>142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>
        <v>110.1</v>
      </c>
      <c r="W90" s="203">
        <v>110.4</v>
      </c>
      <c r="X90" s="203">
        <v>110.7</v>
      </c>
      <c r="Y90" s="75">
        <v>110.7</v>
      </c>
      <c r="AA90" s="228">
        <v>110</v>
      </c>
      <c r="AB90" s="203">
        <v>109.7</v>
      </c>
      <c r="AC90" s="203">
        <v>116.6</v>
      </c>
      <c r="AD90" s="203">
        <v>120.5</v>
      </c>
      <c r="AE90" s="75">
        <f>+AD90</f>
        <v>120.5</v>
      </c>
      <c r="AG90" s="228">
        <v>113.7</v>
      </c>
      <c r="AH90" s="290"/>
      <c r="AI90" s="290"/>
      <c r="AJ90" s="290"/>
      <c r="AK90" s="285"/>
      <c r="AM90" s="290"/>
      <c r="AN90" s="290"/>
      <c r="AO90" s="290"/>
      <c r="AP90" s="290"/>
      <c r="AQ90" s="285"/>
    </row>
    <row r="91" spans="1:45" s="53" customFormat="1" ht="12.75" customHeight="1" x14ac:dyDescent="0.2">
      <c r="A91" s="48" t="s">
        <v>152</v>
      </c>
      <c r="C91" s="79">
        <f t="shared" ref="C91" si="221">+SUM(C89:C90)</f>
        <v>1053</v>
      </c>
      <c r="D91" s="79">
        <f t="shared" ref="D91" si="222">+SUM(D89:D90)</f>
        <v>1189.2</v>
      </c>
      <c r="E91" s="79">
        <f t="shared" ref="E91" si="223">+SUM(E89:E90)</f>
        <v>1183.3</v>
      </c>
      <c r="F91" s="132">
        <f t="shared" ref="F91" si="224">+SUM(F89:F90)</f>
        <v>1109.5</v>
      </c>
      <c r="G91" s="80">
        <f>+SUM(G89:G90)</f>
        <v>1109.5</v>
      </c>
      <c r="H91" s="82"/>
      <c r="I91" s="79">
        <f t="shared" ref="I91" si="225">+SUM(I89:I90)</f>
        <v>1207.5999999999999</v>
      </c>
      <c r="J91" s="79">
        <f t="shared" ref="J91" si="226">+SUM(J89:J90)</f>
        <v>1176.7</v>
      </c>
      <c r="K91" s="79">
        <f t="shared" ref="K91" si="227">+SUM(K89:K90)</f>
        <v>1232</v>
      </c>
      <c r="L91" s="132">
        <f t="shared" ref="L91" si="228">+SUM(L89:L90)</f>
        <v>1143.8999999999999</v>
      </c>
      <c r="M91" s="80">
        <f>+SUM(M89:M90)</f>
        <v>1143.8999999999999</v>
      </c>
      <c r="N91" s="82"/>
      <c r="O91" s="79">
        <f t="shared" ref="O91" si="229">+SUM(O89:O90)</f>
        <v>1207.2</v>
      </c>
      <c r="P91" s="79">
        <f t="shared" ref="P91" si="230">+SUM(P89:P90)</f>
        <v>1180.2</v>
      </c>
      <c r="Q91" s="79">
        <f t="shared" ref="Q91" si="231">+SUM(Q89:Q90)</f>
        <v>1156.2</v>
      </c>
      <c r="R91" s="132">
        <f t="shared" ref="R91" si="232">+SUM(R89:R90)</f>
        <v>1046</v>
      </c>
      <c r="S91" s="80">
        <f>+SUM(S89:S90)</f>
        <v>1046</v>
      </c>
      <c r="U91" s="79">
        <f t="shared" ref="U91:Y91" si="233">+SUM(U89:U90)</f>
        <v>1102</v>
      </c>
      <c r="V91" s="79">
        <f t="shared" si="233"/>
        <v>1186</v>
      </c>
      <c r="W91" s="79">
        <f t="shared" si="233"/>
        <v>1047.5</v>
      </c>
      <c r="X91" s="132">
        <f t="shared" si="233"/>
        <v>1050.5</v>
      </c>
      <c r="Y91" s="80">
        <f t="shared" si="233"/>
        <v>1050.5</v>
      </c>
      <c r="AA91" s="131">
        <f>+SUM(AA89:AA90)</f>
        <v>1139.7</v>
      </c>
      <c r="AB91" s="79">
        <f t="shared" ref="AB91:AD91" si="234">+SUM(AB89:AB90)</f>
        <v>1348.1000000000001</v>
      </c>
      <c r="AC91" s="79">
        <f t="shared" si="234"/>
        <v>1226</v>
      </c>
      <c r="AD91" s="132">
        <f t="shared" si="234"/>
        <v>1173.0999999999999</v>
      </c>
      <c r="AE91" s="80">
        <f>+SUM(AE89:AE90)</f>
        <v>1173.0999999999999</v>
      </c>
      <c r="AG91" s="79">
        <f t="shared" ref="AG91" si="235">+SUM(AG89:AG90)</f>
        <v>1325.4</v>
      </c>
      <c r="AH91" s="282"/>
      <c r="AI91" s="282"/>
      <c r="AJ91" s="295"/>
      <c r="AK91" s="283"/>
      <c r="AM91" s="282"/>
      <c r="AN91" s="282"/>
      <c r="AO91" s="282"/>
      <c r="AP91" s="295"/>
      <c r="AQ91" s="283"/>
    </row>
    <row r="92" spans="1:45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  <c r="AA92" s="4">
        <v>1139.7</v>
      </c>
      <c r="AB92" s="4"/>
      <c r="AC92" s="4"/>
      <c r="AD92" s="4"/>
      <c r="AE92" s="174"/>
      <c r="AG92" s="4"/>
      <c r="AH92" s="4"/>
      <c r="AI92" s="4"/>
      <c r="AJ92" s="4"/>
      <c r="AK92" s="174"/>
      <c r="AM92" s="4"/>
      <c r="AN92" s="4"/>
      <c r="AO92" s="4"/>
      <c r="AP92" s="4"/>
      <c r="AQ92" s="174"/>
    </row>
    <row r="93" spans="1:45" s="162" customFormat="1" ht="12.75" customHeight="1" x14ac:dyDescent="0.2">
      <c r="A93" s="27" t="s">
        <v>192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9"/>
      <c r="AB93" s="29"/>
      <c r="AC93" s="29"/>
      <c r="AD93" s="29"/>
      <c r="AE93" s="64"/>
      <c r="AG93" s="29"/>
      <c r="AH93" s="29"/>
      <c r="AI93" s="29"/>
      <c r="AJ93" s="29"/>
      <c r="AK93" s="64"/>
      <c r="AM93" s="29"/>
      <c r="AN93" s="29"/>
      <c r="AO93" s="29"/>
      <c r="AP93" s="29"/>
      <c r="AQ93" s="64"/>
    </row>
    <row r="94" spans="1:45" s="162" customFormat="1" ht="12.75" customHeight="1" x14ac:dyDescent="0.2">
      <c r="A94" s="3" t="s">
        <v>143</v>
      </c>
      <c r="B94" s="5"/>
      <c r="C94" s="240">
        <v>9.5000000000000001E-2</v>
      </c>
      <c r="D94" s="240">
        <v>9.1999999999999998E-2</v>
      </c>
      <c r="E94" s="240">
        <v>8.6999999999999994E-2</v>
      </c>
      <c r="F94" s="240">
        <v>7.4999999999999997E-2</v>
      </c>
      <c r="G94" s="64">
        <v>7.4999999999999997E-2</v>
      </c>
      <c r="H94" s="5"/>
      <c r="I94" s="240">
        <v>5.2999999999999999E-2</v>
      </c>
      <c r="J94" s="240">
        <v>4.1000000000000002E-2</v>
      </c>
      <c r="K94" s="240">
        <v>2.9000000000000001E-2</v>
      </c>
      <c r="L94" s="240">
        <v>-8.0000000000000002E-3</v>
      </c>
      <c r="M94" s="64">
        <v>-8.0000000000000002E-3</v>
      </c>
      <c r="N94" s="5"/>
      <c r="O94" s="240">
        <v>-2.9000000000000001E-2</v>
      </c>
      <c r="P94" s="240">
        <v>-5.0999999999999997E-2</v>
      </c>
      <c r="Q94" s="240">
        <v>-7.0999999999999994E-2</v>
      </c>
      <c r="R94" s="240">
        <v>-7.1999999999999995E-2</v>
      </c>
      <c r="S94" s="64">
        <v>-7.1999999999999995E-2</v>
      </c>
      <c r="T94" s="5"/>
      <c r="U94" s="240">
        <v>-6.0999999999999999E-2</v>
      </c>
      <c r="V94" s="240">
        <v>-5.3999999999999999E-2</v>
      </c>
      <c r="W94" s="240">
        <v>-4.1000000000000002E-2</v>
      </c>
      <c r="X94" s="240">
        <v>-2.9000000000000001E-2</v>
      </c>
      <c r="Y94" s="64">
        <v>-2.9000000000000001E-2</v>
      </c>
      <c r="Z94" s="5"/>
      <c r="AA94" s="240">
        <v>-8.9999999999999993E-3</v>
      </c>
      <c r="AB94" s="240">
        <v>1.4999999999999999E-2</v>
      </c>
      <c r="AC94" s="240">
        <v>3.4000000000000002E-2</v>
      </c>
      <c r="AD94" s="240">
        <v>3.4000000000000002E-2</v>
      </c>
      <c r="AE94" s="64">
        <v>3.4000000000000002E-2</v>
      </c>
      <c r="AG94" s="240">
        <v>4.1000000000000002E-2</v>
      </c>
      <c r="AH94" s="240">
        <v>4.1000000000000002E-2</v>
      </c>
      <c r="AI94" s="240">
        <v>3.7999999999999999E-2</v>
      </c>
      <c r="AJ94" s="240">
        <v>6.6000000000000003E-2</v>
      </c>
      <c r="AK94" s="64">
        <f>+AJ94</f>
        <v>6.6000000000000003E-2</v>
      </c>
      <c r="AM94" s="240">
        <v>0.08</v>
      </c>
      <c r="AN94" s="240"/>
      <c r="AO94" s="240"/>
      <c r="AP94" s="240"/>
      <c r="AQ94" s="64"/>
    </row>
    <row r="95" spans="1:45" s="162" customFormat="1" ht="12.75" customHeight="1" x14ac:dyDescent="0.2">
      <c r="A95" s="163" t="s">
        <v>142</v>
      </c>
      <c r="B95" s="27"/>
      <c r="C95" s="260" t="s">
        <v>135</v>
      </c>
      <c r="D95" s="260" t="s">
        <v>135</v>
      </c>
      <c r="E95" s="260" t="s">
        <v>135</v>
      </c>
      <c r="F95" s="240">
        <v>-3.1E-2</v>
      </c>
      <c r="G95" s="64">
        <v>-3.1E-2</v>
      </c>
      <c r="H95" s="5"/>
      <c r="I95" s="260" t="s">
        <v>135</v>
      </c>
      <c r="J95" s="260" t="s">
        <v>135</v>
      </c>
      <c r="K95" s="260" t="s">
        <v>135</v>
      </c>
      <c r="L95" s="240">
        <v>1.6E-2</v>
      </c>
      <c r="M95" s="64">
        <v>1.6E-2</v>
      </c>
      <c r="N95" s="5"/>
      <c r="O95" s="240">
        <v>2.1999999999999999E-2</v>
      </c>
      <c r="P95" s="240">
        <v>5.0999999999999997E-2</v>
      </c>
      <c r="Q95" s="240">
        <v>6.8000000000000005E-2</v>
      </c>
      <c r="R95" s="240">
        <v>4.9000000000000002E-2</v>
      </c>
      <c r="S95" s="64">
        <v>4.9000000000000002E-2</v>
      </c>
      <c r="T95" s="5"/>
      <c r="U95" s="240">
        <v>0.03</v>
      </c>
      <c r="V95" s="240">
        <v>-2.1999999999999999E-2</v>
      </c>
      <c r="W95" s="240">
        <v>-5.8999999999999997E-2</v>
      </c>
      <c r="X95" s="240">
        <v>-8.7999999999999995E-2</v>
      </c>
      <c r="Y95" s="64">
        <v>-8.7999999999999995E-2</v>
      </c>
      <c r="Z95" s="5"/>
      <c r="AA95" s="240">
        <v>-0.09</v>
      </c>
      <c r="AB95" s="240">
        <v>-8.6999999999999994E-2</v>
      </c>
      <c r="AC95" s="240">
        <v>-6.9000000000000006E-2</v>
      </c>
      <c r="AD95" s="240">
        <v>-6.2E-2</v>
      </c>
      <c r="AE95" s="64">
        <v>-6.2E-2</v>
      </c>
      <c r="AG95" s="240">
        <v>-6.6000000000000003E-2</v>
      </c>
      <c r="AH95" s="296"/>
      <c r="AI95" s="296"/>
      <c r="AJ95" s="296"/>
      <c r="AK95" s="296"/>
      <c r="AM95" s="296"/>
      <c r="AN95" s="296"/>
      <c r="AO95" s="296"/>
      <c r="AP95" s="296"/>
      <c r="AQ95" s="296"/>
    </row>
    <row r="96" spans="1:45" s="45" customFormat="1" ht="12.75" customHeight="1" x14ac:dyDescent="0.2">
      <c r="A96" s="42" t="s">
        <v>152</v>
      </c>
      <c r="C96" s="244">
        <v>0.121</v>
      </c>
      <c r="D96" s="244">
        <v>0.128</v>
      </c>
      <c r="E96" s="244">
        <v>0.14000000000000001</v>
      </c>
      <c r="F96" s="244">
        <v>0.11799999999999999</v>
      </c>
      <c r="G96" s="245">
        <v>0.11799999999999999</v>
      </c>
      <c r="H96" s="42"/>
      <c r="I96" s="244">
        <v>7.8E-2</v>
      </c>
      <c r="J96" s="244">
        <v>4.8000000000000001E-2</v>
      </c>
      <c r="K96" s="244">
        <v>2.5000000000000001E-2</v>
      </c>
      <c r="L96" s="244">
        <v>-7.0000000000000001E-3</v>
      </c>
      <c r="M96" s="245">
        <v>-7.0000000000000001E-3</v>
      </c>
      <c r="N96" s="42"/>
      <c r="O96" s="244">
        <v>-2.5999999999999999E-2</v>
      </c>
      <c r="P96" s="244">
        <v>-4.3999999999999997E-2</v>
      </c>
      <c r="Q96" s="244">
        <v>-0.06</v>
      </c>
      <c r="R96" s="244">
        <v>-6.2E-2</v>
      </c>
      <c r="S96" s="245">
        <v>-6.2E-2</v>
      </c>
      <c r="T96" s="42"/>
      <c r="U96" s="244">
        <v>-5.2999999999999999E-2</v>
      </c>
      <c r="V96" s="244">
        <v>-5.0999999999999997E-2</v>
      </c>
      <c r="W96" s="244">
        <v>-4.2000000000000003E-2</v>
      </c>
      <c r="X96" s="244">
        <v>-3.5000000000000003E-2</v>
      </c>
      <c r="Y96" s="245">
        <v>-3.5000000000000003E-2</v>
      </c>
      <c r="Z96" s="42"/>
      <c r="AA96" s="244">
        <v>-1.7000000000000001E-2</v>
      </c>
      <c r="AB96" s="244">
        <v>5.0000000000000001E-3</v>
      </c>
      <c r="AC96" s="244">
        <v>2.4E-2</v>
      </c>
      <c r="AD96" s="244">
        <v>2.5000000000000001E-2</v>
      </c>
      <c r="AE96" s="245">
        <v>2.5000000000000001E-2</v>
      </c>
      <c r="AG96" s="244">
        <v>3.1E-2</v>
      </c>
      <c r="AH96" s="297"/>
      <c r="AI96" s="297"/>
      <c r="AJ96" s="297"/>
      <c r="AK96" s="297"/>
      <c r="AM96" s="297"/>
      <c r="AN96" s="297"/>
      <c r="AO96" s="297"/>
      <c r="AP96" s="297"/>
      <c r="AQ96" s="297"/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  <c r="AA97" s="4"/>
      <c r="AB97" s="4"/>
      <c r="AC97" s="4"/>
      <c r="AD97" s="4"/>
      <c r="AE97" s="174"/>
      <c r="AG97" s="4"/>
      <c r="AH97" s="4"/>
      <c r="AI97" s="4"/>
      <c r="AJ97" s="4"/>
      <c r="AK97" s="174"/>
      <c r="AM97" s="4"/>
      <c r="AN97" s="4"/>
      <c r="AO97" s="4"/>
      <c r="AP97" s="4"/>
      <c r="AQ97" s="174"/>
    </row>
    <row r="98" spans="1:144" s="27" customFormat="1" ht="12.75" customHeight="1" x14ac:dyDescent="0.2">
      <c r="A98" s="27" t="s">
        <v>197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  <c r="AA98" s="29"/>
      <c r="AB98" s="29"/>
      <c r="AC98" s="29"/>
      <c r="AD98" s="29"/>
      <c r="AE98" s="64"/>
      <c r="AG98" s="29"/>
      <c r="AH98" s="29"/>
      <c r="AI98" s="29"/>
      <c r="AJ98" s="29"/>
      <c r="AK98" s="64"/>
      <c r="AM98" s="29"/>
      <c r="AN98" s="29"/>
      <c r="AO98" s="29"/>
      <c r="AP98" s="29"/>
      <c r="AQ98" s="64"/>
    </row>
    <row r="99" spans="1:144" s="5" customFormat="1" ht="12.75" customHeight="1" x14ac:dyDescent="0.2">
      <c r="A99" s="3" t="s">
        <v>143</v>
      </c>
      <c r="C99" s="261">
        <v>3703</v>
      </c>
      <c r="D99" s="261">
        <v>3358</v>
      </c>
      <c r="E99" s="261">
        <v>3389</v>
      </c>
      <c r="F99" s="261">
        <v>3393</v>
      </c>
      <c r="G99" s="262">
        <v>3393</v>
      </c>
      <c r="H99" s="263"/>
      <c r="I99" s="261">
        <v>3393</v>
      </c>
      <c r="J99" s="261">
        <v>3452</v>
      </c>
      <c r="K99" s="261">
        <v>3424</v>
      </c>
      <c r="L99" s="261">
        <v>3419</v>
      </c>
      <c r="M99" s="262">
        <v>3419</v>
      </c>
      <c r="N99" s="263"/>
      <c r="O99" s="261">
        <v>3342</v>
      </c>
      <c r="P99" s="261">
        <v>3275</v>
      </c>
      <c r="Q99" s="261">
        <v>3271</v>
      </c>
      <c r="R99" s="261">
        <v>3303</v>
      </c>
      <c r="S99" s="262">
        <v>3303</v>
      </c>
      <c r="T99" s="263"/>
      <c r="U99" s="261">
        <v>3351</v>
      </c>
      <c r="V99" s="261">
        <v>3354</v>
      </c>
      <c r="W99" s="261">
        <v>3429</v>
      </c>
      <c r="X99" s="261">
        <v>3469</v>
      </c>
      <c r="Y99" s="262">
        <v>3469</v>
      </c>
      <c r="AA99" s="274"/>
      <c r="AB99" s="274"/>
      <c r="AC99" s="274"/>
      <c r="AD99" s="274"/>
      <c r="AE99" s="275"/>
      <c r="AG99" s="274"/>
      <c r="AH99" s="274"/>
      <c r="AI99" s="274"/>
      <c r="AJ99" s="274"/>
      <c r="AK99" s="275"/>
      <c r="AM99" s="274"/>
      <c r="AN99" s="274"/>
      <c r="AO99" s="274"/>
      <c r="AP99" s="274"/>
      <c r="AQ99" s="275"/>
      <c r="EN99" s="27"/>
    </row>
    <row r="100" spans="1:144" s="42" customFormat="1" ht="12.75" customHeight="1" x14ac:dyDescent="0.2">
      <c r="A100" s="46" t="s">
        <v>142</v>
      </c>
      <c r="C100" s="265">
        <v>254</v>
      </c>
      <c r="D100" s="265">
        <v>263</v>
      </c>
      <c r="E100" s="265">
        <v>310</v>
      </c>
      <c r="F100" s="265">
        <v>302</v>
      </c>
      <c r="G100" s="266">
        <v>302</v>
      </c>
      <c r="H100" s="267"/>
      <c r="I100" s="265">
        <v>296</v>
      </c>
      <c r="J100" s="265">
        <v>322</v>
      </c>
      <c r="K100" s="265">
        <v>348</v>
      </c>
      <c r="L100" s="265">
        <v>349</v>
      </c>
      <c r="M100" s="266">
        <v>349</v>
      </c>
      <c r="N100" s="267"/>
      <c r="O100" s="265">
        <v>356</v>
      </c>
      <c r="P100" s="265">
        <v>367</v>
      </c>
      <c r="Q100" s="265">
        <v>380</v>
      </c>
      <c r="R100" s="265">
        <v>403</v>
      </c>
      <c r="S100" s="266">
        <v>403</v>
      </c>
      <c r="T100" s="267"/>
      <c r="U100" s="265">
        <v>411</v>
      </c>
      <c r="V100" s="265">
        <v>407</v>
      </c>
      <c r="W100" s="265">
        <v>407</v>
      </c>
      <c r="X100" s="265">
        <v>417</v>
      </c>
      <c r="Y100" s="266">
        <v>417</v>
      </c>
      <c r="AA100" s="276"/>
      <c r="AB100" s="276"/>
      <c r="AC100" s="276"/>
      <c r="AD100" s="276"/>
      <c r="AE100" s="277"/>
      <c r="AG100" s="276"/>
      <c r="AH100" s="276"/>
      <c r="AI100" s="276"/>
      <c r="AJ100" s="276"/>
      <c r="AK100" s="277"/>
      <c r="AM100" s="276"/>
      <c r="AN100" s="276"/>
      <c r="AO100" s="276"/>
      <c r="AP100" s="276"/>
      <c r="AQ100" s="277"/>
    </row>
    <row r="101" spans="1:144" s="27" customFormat="1" ht="12.75" customHeight="1" x14ac:dyDescent="0.2">
      <c r="G101" s="64"/>
      <c r="M101" s="64"/>
      <c r="S101" s="64"/>
      <c r="Y101" s="64"/>
    </row>
    <row r="102" spans="1:144" s="27" customFormat="1" ht="12.75" customHeight="1" x14ac:dyDescent="0.2">
      <c r="A102" s="27" t="s">
        <v>201</v>
      </c>
      <c r="C102" s="29"/>
      <c r="D102" s="29"/>
      <c r="E102" s="29"/>
      <c r="F102" s="29"/>
      <c r="G102" s="64"/>
      <c r="I102" s="29"/>
      <c r="J102" s="29"/>
      <c r="K102" s="29"/>
      <c r="L102" s="29"/>
      <c r="M102" s="64"/>
      <c r="O102" s="29"/>
      <c r="P102" s="29"/>
      <c r="Q102" s="29"/>
      <c r="R102" s="29"/>
      <c r="S102" s="64"/>
      <c r="U102" s="29"/>
      <c r="V102" s="29"/>
      <c r="W102" s="29"/>
      <c r="X102" s="29"/>
      <c r="Y102" s="64"/>
      <c r="AA102" s="29"/>
      <c r="AB102" s="29"/>
      <c r="AC102" s="29"/>
      <c r="AD102" s="29"/>
      <c r="AE102" s="64"/>
      <c r="AG102" s="29"/>
      <c r="AH102" s="29"/>
      <c r="AI102" s="29"/>
      <c r="AJ102" s="29"/>
      <c r="AK102" s="64"/>
      <c r="AM102" s="29"/>
      <c r="AN102" s="29"/>
      <c r="AO102" s="29"/>
      <c r="AP102" s="29"/>
      <c r="AQ102" s="64"/>
    </row>
    <row r="103" spans="1:144" s="27" customFormat="1" ht="12.75" customHeight="1" x14ac:dyDescent="0.2">
      <c r="A103" s="3" t="s">
        <v>143</v>
      </c>
      <c r="B103" s="5"/>
      <c r="C103" s="274"/>
      <c r="D103" s="274"/>
      <c r="E103" s="274"/>
      <c r="F103" s="274"/>
      <c r="G103" s="275"/>
      <c r="H103" s="278"/>
      <c r="I103" s="274"/>
      <c r="J103" s="274"/>
      <c r="K103" s="274"/>
      <c r="L103" s="274"/>
      <c r="M103" s="275"/>
      <c r="N103" s="278"/>
      <c r="O103" s="274"/>
      <c r="P103" s="274"/>
      <c r="Q103" s="274"/>
      <c r="R103" s="274"/>
      <c r="S103" s="275"/>
      <c r="T103" s="263"/>
      <c r="U103" s="261">
        <v>3340</v>
      </c>
      <c r="V103" s="261">
        <v>3357</v>
      </c>
      <c r="W103" s="261">
        <v>3397</v>
      </c>
      <c r="X103" s="261">
        <v>3467</v>
      </c>
      <c r="Y103" s="262">
        <v>3390</v>
      </c>
      <c r="Z103" s="5"/>
      <c r="AA103" s="261">
        <v>3571</v>
      </c>
      <c r="AB103" s="261">
        <v>3729</v>
      </c>
      <c r="AC103" s="261">
        <v>3876</v>
      </c>
      <c r="AD103" s="261">
        <v>3926</v>
      </c>
      <c r="AE103" s="262">
        <v>3775</v>
      </c>
      <c r="AG103" s="261">
        <v>4008</v>
      </c>
      <c r="AH103" s="261">
        <v>4011</v>
      </c>
      <c r="AI103" s="261">
        <v>4069</v>
      </c>
      <c r="AJ103" s="261">
        <v>4159</v>
      </c>
      <c r="AK103" s="262">
        <v>4062</v>
      </c>
      <c r="AM103" s="261">
        <v>4291</v>
      </c>
      <c r="AN103" s="261"/>
      <c r="AO103" s="261"/>
      <c r="AP103" s="261"/>
      <c r="AQ103" s="262"/>
    </row>
    <row r="104" spans="1:144" s="27" customFormat="1" ht="12.75" customHeight="1" x14ac:dyDescent="0.2">
      <c r="A104" s="46" t="s">
        <v>142</v>
      </c>
      <c r="B104" s="42"/>
      <c r="C104" s="276"/>
      <c r="D104" s="276"/>
      <c r="E104" s="276"/>
      <c r="F104" s="276"/>
      <c r="G104" s="277"/>
      <c r="H104" s="279"/>
      <c r="I104" s="276"/>
      <c r="J104" s="276"/>
      <c r="K104" s="276"/>
      <c r="L104" s="276"/>
      <c r="M104" s="277"/>
      <c r="N104" s="279"/>
      <c r="O104" s="276"/>
      <c r="P104" s="276"/>
      <c r="Q104" s="276"/>
      <c r="R104" s="276"/>
      <c r="S104" s="277"/>
      <c r="T104" s="267"/>
      <c r="U104" s="265">
        <v>409</v>
      </c>
      <c r="V104" s="265">
        <v>407</v>
      </c>
      <c r="W104" s="265">
        <v>405</v>
      </c>
      <c r="X104" s="265">
        <v>418</v>
      </c>
      <c r="Y104" s="266">
        <v>410</v>
      </c>
      <c r="Z104" s="42"/>
      <c r="AA104" s="265">
        <v>401</v>
      </c>
      <c r="AB104" s="265">
        <v>391</v>
      </c>
      <c r="AC104" s="265">
        <v>392</v>
      </c>
      <c r="AD104" s="265">
        <v>419</v>
      </c>
      <c r="AE104" s="266">
        <v>401</v>
      </c>
      <c r="AG104" s="265">
        <v>412</v>
      </c>
      <c r="AH104" s="298"/>
      <c r="AI104" s="298"/>
      <c r="AJ104" s="298"/>
      <c r="AK104" s="298"/>
      <c r="AM104" s="298"/>
      <c r="AN104" s="298"/>
      <c r="AO104" s="298"/>
      <c r="AP104" s="298"/>
      <c r="AQ104" s="298"/>
    </row>
    <row r="105" spans="1:144" s="27" customFormat="1" ht="12.75" customHeight="1" x14ac:dyDescent="0.2"/>
    <row r="106" spans="1:144" ht="12.75" customHeight="1" x14ac:dyDescent="0.2">
      <c r="A106" s="241" t="s">
        <v>194</v>
      </c>
      <c r="C106" s="147"/>
      <c r="I106" s="147"/>
      <c r="O106" s="147"/>
      <c r="U106" s="147"/>
      <c r="AA106" s="147"/>
    </row>
    <row r="107" spans="1:144" ht="12.75" customHeight="1" x14ac:dyDescent="0.2">
      <c r="A107" s="148" t="s">
        <v>193</v>
      </c>
      <c r="C107" s="154"/>
      <c r="D107" s="7"/>
      <c r="I107" s="154"/>
      <c r="J107" s="7"/>
      <c r="L107" s="85"/>
      <c r="O107" s="154"/>
      <c r="P107" s="7"/>
      <c r="R107" s="85"/>
      <c r="U107" s="154"/>
      <c r="V107" s="7"/>
      <c r="X107" s="85"/>
      <c r="AA107" s="154"/>
      <c r="AB107" s="7"/>
      <c r="AD107" s="85"/>
    </row>
    <row r="108" spans="1:144" ht="12.75" customHeight="1" x14ac:dyDescent="0.2">
      <c r="C108" s="7"/>
      <c r="G108" s="145"/>
      <c r="I108" s="7"/>
      <c r="L108" s="85"/>
      <c r="M108" s="145"/>
      <c r="O108" s="7"/>
      <c r="R108" s="85"/>
      <c r="S108" s="145"/>
      <c r="U108" s="7"/>
      <c r="X108" s="85"/>
      <c r="Y108" s="145"/>
      <c r="AA108" s="7"/>
      <c r="AD108" s="85"/>
      <c r="AE108" s="145"/>
    </row>
  </sheetData>
  <mergeCells count="12">
    <mergeCell ref="AM1:AQ1"/>
    <mergeCell ref="AM2:AQ2"/>
    <mergeCell ref="AG2:AK2"/>
    <mergeCell ref="C1:G1"/>
    <mergeCell ref="I1:M1"/>
    <mergeCell ref="O1:S1"/>
    <mergeCell ref="AA2:AE2"/>
    <mergeCell ref="I2:M2"/>
    <mergeCell ref="O2:S2"/>
    <mergeCell ref="U2:Y2"/>
    <mergeCell ref="C2:G2"/>
    <mergeCell ref="AG1:AK1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BX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N41" sqref="CN41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303"/>
      <c r="D1" s="303"/>
      <c r="E1" s="303"/>
      <c r="F1" s="303"/>
      <c r="G1" s="303"/>
      <c r="I1" s="303"/>
      <c r="J1" s="303"/>
      <c r="K1" s="303"/>
      <c r="L1" s="303"/>
      <c r="M1" s="303"/>
      <c r="O1" s="303"/>
      <c r="P1" s="303"/>
      <c r="Q1" s="303"/>
      <c r="R1" s="303"/>
      <c r="S1" s="303"/>
      <c r="U1" s="303"/>
      <c r="V1" s="303"/>
      <c r="W1" s="303"/>
      <c r="X1" s="303"/>
      <c r="Y1" s="303"/>
      <c r="AA1" s="303"/>
      <c r="AB1" s="303"/>
      <c r="AC1" s="303"/>
      <c r="AD1" s="303"/>
      <c r="AE1" s="303"/>
      <c r="AG1" s="303"/>
      <c r="AH1" s="303"/>
      <c r="AI1" s="303"/>
      <c r="AJ1" s="303"/>
      <c r="AK1" s="303"/>
      <c r="AM1" s="303"/>
      <c r="AN1" s="303"/>
      <c r="AO1" s="303"/>
      <c r="AP1" s="303"/>
      <c r="AQ1" s="303"/>
      <c r="AS1" s="303"/>
      <c r="AT1" s="303"/>
      <c r="AU1" s="303"/>
      <c r="AV1" s="303"/>
      <c r="AW1" s="303"/>
      <c r="AY1" s="303"/>
      <c r="AZ1" s="303"/>
      <c r="BA1" s="303"/>
      <c r="BB1" s="303"/>
      <c r="BC1" s="303"/>
      <c r="BE1" s="303"/>
      <c r="BF1" s="303"/>
      <c r="BG1" s="303"/>
      <c r="BH1" s="303"/>
      <c r="BI1" s="303"/>
      <c r="BK1" s="303"/>
      <c r="BL1" s="303"/>
      <c r="BM1" s="303"/>
      <c r="BN1" s="303"/>
      <c r="BO1" s="303"/>
      <c r="BQ1" s="303"/>
      <c r="BR1" s="303"/>
      <c r="BS1" s="303"/>
      <c r="BT1" s="303"/>
      <c r="BU1" s="303"/>
      <c r="BW1" s="305" t="s">
        <v>164</v>
      </c>
      <c r="BX1" s="305"/>
      <c r="BY1" s="305"/>
      <c r="BZ1" s="305"/>
      <c r="CA1" s="305"/>
      <c r="CC1" s="305"/>
      <c r="CD1" s="305"/>
      <c r="CE1" s="305"/>
      <c r="CF1" s="305"/>
      <c r="CG1" s="305"/>
      <c r="CI1" s="305"/>
      <c r="CJ1" s="305"/>
      <c r="CK1" s="305"/>
      <c r="CL1" s="305"/>
      <c r="CM1" s="305"/>
    </row>
    <row r="2" spans="1:221" x14ac:dyDescent="0.2">
      <c r="A2" s="1" t="s">
        <v>152</v>
      </c>
      <c r="C2" s="304">
        <v>2005</v>
      </c>
      <c r="D2" s="304"/>
      <c r="E2" s="304"/>
      <c r="F2" s="304"/>
      <c r="G2" s="304"/>
      <c r="I2" s="304">
        <v>2006</v>
      </c>
      <c r="J2" s="304"/>
      <c r="K2" s="304"/>
      <c r="L2" s="304"/>
      <c r="M2" s="304"/>
      <c r="O2" s="304">
        <v>2007</v>
      </c>
      <c r="P2" s="304"/>
      <c r="Q2" s="304"/>
      <c r="R2" s="304"/>
      <c r="S2" s="304"/>
      <c r="U2" s="304">
        <v>2008</v>
      </c>
      <c r="V2" s="304"/>
      <c r="W2" s="304"/>
      <c r="X2" s="304"/>
      <c r="Y2" s="304"/>
      <c r="AA2" s="304">
        <v>2009</v>
      </c>
      <c r="AB2" s="304"/>
      <c r="AC2" s="304"/>
      <c r="AD2" s="304"/>
      <c r="AE2" s="304"/>
      <c r="AG2" s="304">
        <v>2010</v>
      </c>
      <c r="AH2" s="304"/>
      <c r="AI2" s="304"/>
      <c r="AJ2" s="304"/>
      <c r="AK2" s="304"/>
      <c r="AM2" s="304">
        <v>2011</v>
      </c>
      <c r="AN2" s="304"/>
      <c r="AO2" s="304"/>
      <c r="AP2" s="304"/>
      <c r="AQ2" s="304"/>
      <c r="AS2" s="304">
        <v>2012</v>
      </c>
      <c r="AT2" s="304"/>
      <c r="AU2" s="304"/>
      <c r="AV2" s="304"/>
      <c r="AW2" s="304"/>
      <c r="AY2" s="304">
        <v>2013</v>
      </c>
      <c r="AZ2" s="304"/>
      <c r="BA2" s="304"/>
      <c r="BB2" s="304"/>
      <c r="BC2" s="304"/>
      <c r="BE2" s="304">
        <v>2014</v>
      </c>
      <c r="BF2" s="304"/>
      <c r="BG2" s="304"/>
      <c r="BH2" s="304"/>
      <c r="BI2" s="304"/>
      <c r="BK2" s="304">
        <v>2015</v>
      </c>
      <c r="BL2" s="304"/>
      <c r="BM2" s="304"/>
      <c r="BN2" s="304"/>
      <c r="BO2" s="304"/>
      <c r="BQ2" s="304">
        <v>2016</v>
      </c>
      <c r="BR2" s="304"/>
      <c r="BS2" s="304"/>
      <c r="BT2" s="304"/>
      <c r="BU2" s="304"/>
      <c r="BW2" s="304">
        <v>2017</v>
      </c>
      <c r="BX2" s="304"/>
      <c r="BY2" s="304"/>
      <c r="BZ2" s="304"/>
      <c r="CA2" s="304"/>
      <c r="CC2" s="304">
        <v>2018</v>
      </c>
      <c r="CD2" s="304"/>
      <c r="CE2" s="304"/>
      <c r="CF2" s="304"/>
      <c r="CG2" s="304"/>
      <c r="CI2" s="304">
        <v>2019</v>
      </c>
      <c r="CJ2" s="304"/>
      <c r="CK2" s="304"/>
      <c r="CL2" s="304"/>
      <c r="CM2" s="304"/>
    </row>
    <row r="3" spans="1:221" s="170" customFormat="1" x14ac:dyDescent="0.2">
      <c r="A3" s="169" t="s">
        <v>108</v>
      </c>
      <c r="B3" s="171"/>
      <c r="C3" s="171" t="s">
        <v>9</v>
      </c>
      <c r="D3" s="171" t="s">
        <v>10</v>
      </c>
      <c r="E3" s="171" t="s">
        <v>11</v>
      </c>
      <c r="F3" s="171" t="s">
        <v>12</v>
      </c>
      <c r="G3" s="171" t="s">
        <v>13</v>
      </c>
      <c r="I3" s="171" t="s">
        <v>9</v>
      </c>
      <c r="J3" s="171" t="s">
        <v>10</v>
      </c>
      <c r="K3" s="171" t="s">
        <v>11</v>
      </c>
      <c r="L3" s="171" t="s">
        <v>12</v>
      </c>
      <c r="M3" s="171" t="s">
        <v>13</v>
      </c>
      <c r="O3" s="171" t="s">
        <v>9</v>
      </c>
      <c r="P3" s="171" t="s">
        <v>10</v>
      </c>
      <c r="Q3" s="171" t="s">
        <v>11</v>
      </c>
      <c r="R3" s="171" t="s">
        <v>12</v>
      </c>
      <c r="S3" s="171" t="s">
        <v>13</v>
      </c>
      <c r="U3" s="171" t="s">
        <v>9</v>
      </c>
      <c r="V3" s="171" t="s">
        <v>10</v>
      </c>
      <c r="W3" s="171" t="s">
        <v>11</v>
      </c>
      <c r="X3" s="171" t="s">
        <v>12</v>
      </c>
      <c r="Y3" s="171" t="s">
        <v>13</v>
      </c>
      <c r="AA3" s="171" t="s">
        <v>9</v>
      </c>
      <c r="AB3" s="171" t="s">
        <v>10</v>
      </c>
      <c r="AC3" s="171" t="s">
        <v>11</v>
      </c>
      <c r="AD3" s="171" t="s">
        <v>12</v>
      </c>
      <c r="AE3" s="171" t="s">
        <v>13</v>
      </c>
      <c r="AG3" s="171" t="s">
        <v>9</v>
      </c>
      <c r="AH3" s="171" t="s">
        <v>10</v>
      </c>
      <c r="AI3" s="171" t="s">
        <v>11</v>
      </c>
      <c r="AJ3" s="171" t="s">
        <v>12</v>
      </c>
      <c r="AK3" s="171" t="s">
        <v>13</v>
      </c>
      <c r="AM3" s="171" t="s">
        <v>9</v>
      </c>
      <c r="AN3" s="171" t="s">
        <v>10</v>
      </c>
      <c r="AO3" s="171" t="s">
        <v>11</v>
      </c>
      <c r="AP3" s="171" t="s">
        <v>12</v>
      </c>
      <c r="AQ3" s="171" t="s">
        <v>13</v>
      </c>
      <c r="AS3" s="171" t="s">
        <v>9</v>
      </c>
      <c r="AT3" s="171" t="s">
        <v>10</v>
      </c>
      <c r="AU3" s="171" t="s">
        <v>11</v>
      </c>
      <c r="AV3" s="171" t="s">
        <v>12</v>
      </c>
      <c r="AW3" s="171" t="s">
        <v>13</v>
      </c>
      <c r="AY3" s="171" t="s">
        <v>9</v>
      </c>
      <c r="AZ3" s="171" t="s">
        <v>10</v>
      </c>
      <c r="BA3" s="171" t="s">
        <v>11</v>
      </c>
      <c r="BB3" s="171" t="s">
        <v>12</v>
      </c>
      <c r="BC3" s="171" t="s">
        <v>13</v>
      </c>
      <c r="BE3" s="171" t="s">
        <v>9</v>
      </c>
      <c r="BF3" s="171" t="s">
        <v>10</v>
      </c>
      <c r="BG3" s="171" t="s">
        <v>11</v>
      </c>
      <c r="BH3" s="171" t="s">
        <v>12</v>
      </c>
      <c r="BI3" s="171" t="s">
        <v>13</v>
      </c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27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28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31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51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81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48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84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75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51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82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83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135</v>
      </c>
      <c r="BR28" s="150" t="s">
        <v>135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135</v>
      </c>
      <c r="BX28" s="28">
        <f>+BX22/BX10</f>
        <v>6.25E-2</v>
      </c>
      <c r="BY28" s="150" t="s">
        <v>135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85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27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48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75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31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51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32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148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149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83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72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26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27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28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71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31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29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41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52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53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33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85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27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75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31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51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30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85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27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76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31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51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50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86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130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153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156</v>
      </c>
      <c r="AQ84" s="3"/>
      <c r="BW84" s="147" t="s">
        <v>154</v>
      </c>
      <c r="CC84" s="147"/>
      <c r="CI84" s="147"/>
    </row>
    <row r="85" spans="1:91" ht="11.1" customHeight="1" x14ac:dyDescent="0.2">
      <c r="A85" s="148" t="s">
        <v>157</v>
      </c>
      <c r="AQ85" s="3"/>
      <c r="BK85" s="7"/>
      <c r="BL85" s="10"/>
      <c r="BQ85" s="7"/>
      <c r="BR85" s="7"/>
      <c r="BW85" s="154" t="s">
        <v>155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303"/>
      <c r="D1" s="303"/>
      <c r="E1" s="303"/>
      <c r="F1" s="303"/>
      <c r="H1" s="303"/>
      <c r="I1" s="303"/>
      <c r="J1" s="303"/>
      <c r="K1" s="303"/>
      <c r="M1" s="303"/>
      <c r="N1" s="303"/>
      <c r="O1" s="303"/>
      <c r="P1" s="303"/>
      <c r="R1" s="303"/>
      <c r="S1" s="303"/>
      <c r="T1" s="303"/>
      <c r="U1" s="303"/>
      <c r="W1" s="303"/>
      <c r="X1" s="303"/>
      <c r="Y1" s="303"/>
      <c r="Z1" s="303"/>
      <c r="AB1" s="303"/>
      <c r="AC1" s="303"/>
      <c r="AD1" s="303"/>
      <c r="AE1" s="303"/>
      <c r="AG1" s="303"/>
      <c r="AH1" s="303"/>
      <c r="AI1" s="303"/>
      <c r="AJ1" s="303"/>
      <c r="AL1" s="303"/>
      <c r="AM1" s="303"/>
      <c r="AN1" s="303"/>
      <c r="AO1" s="303"/>
      <c r="AQ1" s="303"/>
      <c r="AR1" s="303"/>
      <c r="AS1" s="303"/>
      <c r="AT1" s="303"/>
      <c r="AV1" s="303"/>
      <c r="AW1" s="303"/>
      <c r="AX1" s="303"/>
      <c r="AY1" s="303"/>
      <c r="BA1" s="303"/>
      <c r="BB1" s="303"/>
      <c r="BC1" s="303"/>
      <c r="BD1" s="303"/>
      <c r="BF1" s="303"/>
      <c r="BG1" s="303"/>
      <c r="BH1" s="303"/>
      <c r="BI1" s="303"/>
      <c r="BK1" s="305" t="s">
        <v>165</v>
      </c>
      <c r="BL1" s="305"/>
      <c r="BM1" s="305"/>
      <c r="BN1" s="305"/>
      <c r="BP1" s="305"/>
      <c r="BQ1" s="305"/>
      <c r="BR1" s="305"/>
      <c r="BS1" s="305"/>
      <c r="BU1" s="305"/>
      <c r="BV1" s="305"/>
      <c r="BW1" s="305"/>
      <c r="BX1" s="305"/>
    </row>
    <row r="2" spans="1:76" x14ac:dyDescent="0.2">
      <c r="A2" s="1" t="s">
        <v>152</v>
      </c>
      <c r="C2" s="304">
        <v>2005</v>
      </c>
      <c r="D2" s="304"/>
      <c r="E2" s="304"/>
      <c r="F2" s="304"/>
      <c r="H2" s="304">
        <v>2006</v>
      </c>
      <c r="I2" s="304"/>
      <c r="J2" s="304"/>
      <c r="K2" s="304"/>
      <c r="M2" s="304">
        <v>2007</v>
      </c>
      <c r="N2" s="304"/>
      <c r="O2" s="304"/>
      <c r="P2" s="304"/>
      <c r="R2" s="304">
        <v>2008</v>
      </c>
      <c r="S2" s="304"/>
      <c r="T2" s="304"/>
      <c r="U2" s="304"/>
      <c r="W2" s="304">
        <v>2009</v>
      </c>
      <c r="X2" s="304"/>
      <c r="Y2" s="304"/>
      <c r="Z2" s="304"/>
      <c r="AB2" s="304">
        <v>2010</v>
      </c>
      <c r="AC2" s="304"/>
      <c r="AD2" s="304"/>
      <c r="AE2" s="304"/>
      <c r="AG2" s="304">
        <v>2011</v>
      </c>
      <c r="AH2" s="304"/>
      <c r="AI2" s="304"/>
      <c r="AJ2" s="304"/>
      <c r="AL2" s="304">
        <v>2012</v>
      </c>
      <c r="AM2" s="304"/>
      <c r="AN2" s="304"/>
      <c r="AO2" s="304"/>
      <c r="AQ2" s="304">
        <v>2013</v>
      </c>
      <c r="AR2" s="304"/>
      <c r="AS2" s="304"/>
      <c r="AT2" s="304"/>
      <c r="AV2" s="304">
        <v>2014</v>
      </c>
      <c r="AW2" s="304"/>
      <c r="AX2" s="304"/>
      <c r="AY2" s="304"/>
      <c r="BA2" s="304">
        <v>2015</v>
      </c>
      <c r="BB2" s="304"/>
      <c r="BC2" s="304"/>
      <c r="BD2" s="304"/>
      <c r="BF2" s="304">
        <v>2016</v>
      </c>
      <c r="BG2" s="304"/>
      <c r="BH2" s="304"/>
      <c r="BI2" s="304"/>
      <c r="BK2" s="304">
        <v>2017</v>
      </c>
      <c r="BL2" s="304"/>
      <c r="BM2" s="304"/>
      <c r="BN2" s="304"/>
      <c r="BP2" s="304">
        <v>2018</v>
      </c>
      <c r="BQ2" s="304"/>
      <c r="BR2" s="304"/>
      <c r="BS2" s="304"/>
      <c r="BU2" s="304">
        <v>2019</v>
      </c>
      <c r="BV2" s="304"/>
      <c r="BW2" s="304"/>
      <c r="BX2" s="304"/>
    </row>
    <row r="3" spans="1:76" s="170" customFormat="1" x14ac:dyDescent="0.2">
      <c r="A3" s="169" t="s">
        <v>109</v>
      </c>
      <c r="C3" s="172" t="s">
        <v>9</v>
      </c>
      <c r="D3" s="172" t="s">
        <v>10</v>
      </c>
      <c r="E3" s="172" t="s">
        <v>11</v>
      </c>
      <c r="F3" s="172" t="s">
        <v>12</v>
      </c>
      <c r="G3" s="172"/>
      <c r="H3" s="172" t="s">
        <v>9</v>
      </c>
      <c r="I3" s="172" t="s">
        <v>10</v>
      </c>
      <c r="J3" s="172" t="s">
        <v>11</v>
      </c>
      <c r="K3" s="172" t="s">
        <v>12</v>
      </c>
      <c r="L3" s="172"/>
      <c r="M3" s="172" t="s">
        <v>9</v>
      </c>
      <c r="N3" s="172" t="s">
        <v>10</v>
      </c>
      <c r="O3" s="172" t="s">
        <v>11</v>
      </c>
      <c r="P3" s="172" t="s">
        <v>12</v>
      </c>
      <c r="Q3" s="172"/>
      <c r="R3" s="172" t="s">
        <v>9</v>
      </c>
      <c r="S3" s="172" t="s">
        <v>10</v>
      </c>
      <c r="T3" s="172" t="s">
        <v>11</v>
      </c>
      <c r="U3" s="172" t="s">
        <v>12</v>
      </c>
      <c r="V3" s="172"/>
      <c r="W3" s="172" t="s">
        <v>9</v>
      </c>
      <c r="X3" s="172" t="s">
        <v>10</v>
      </c>
      <c r="Y3" s="172" t="s">
        <v>11</v>
      </c>
      <c r="Z3" s="172" t="s">
        <v>12</v>
      </c>
      <c r="AA3" s="172"/>
      <c r="AB3" s="172" t="s">
        <v>9</v>
      </c>
      <c r="AC3" s="172" t="s">
        <v>10</v>
      </c>
      <c r="AD3" s="172" t="s">
        <v>11</v>
      </c>
      <c r="AE3" s="172" t="s">
        <v>12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/>
      <c r="AL3" s="172" t="s">
        <v>9</v>
      </c>
      <c r="AM3" s="172" t="s">
        <v>10</v>
      </c>
      <c r="AN3" s="172" t="s">
        <v>11</v>
      </c>
      <c r="AO3" s="172" t="s">
        <v>12</v>
      </c>
      <c r="AP3" s="172"/>
      <c r="AQ3" s="172" t="s">
        <v>9</v>
      </c>
      <c r="AR3" s="172" t="s">
        <v>10</v>
      </c>
      <c r="AS3" s="172" t="s">
        <v>11</v>
      </c>
      <c r="AT3" s="172" t="s">
        <v>12</v>
      </c>
      <c r="AU3" s="172"/>
      <c r="AV3" s="172" t="s">
        <v>9</v>
      </c>
      <c r="AW3" s="172" t="s">
        <v>10</v>
      </c>
      <c r="AX3" s="172" t="s">
        <v>11</v>
      </c>
      <c r="AY3" s="172" t="s">
        <v>12</v>
      </c>
      <c r="AZ3" s="172"/>
      <c r="BA3" s="172" t="s">
        <v>9</v>
      </c>
      <c r="BB3" s="172" t="s">
        <v>10</v>
      </c>
      <c r="BC3" s="172" t="s">
        <v>11</v>
      </c>
      <c r="BD3" s="172" t="s">
        <v>12</v>
      </c>
      <c r="BE3" s="173"/>
      <c r="BF3" s="172" t="s">
        <v>9</v>
      </c>
      <c r="BG3" s="172" t="s">
        <v>10</v>
      </c>
      <c r="BH3" s="172" t="s">
        <v>11</v>
      </c>
      <c r="BI3" s="172" t="s">
        <v>12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P3" s="172" t="s">
        <v>9</v>
      </c>
      <c r="BQ3" s="172" t="s">
        <v>10</v>
      </c>
      <c r="BR3" s="172" t="s">
        <v>11</v>
      </c>
      <c r="BS3" s="172" t="s">
        <v>12</v>
      </c>
      <c r="BU3" s="172" t="s">
        <v>9</v>
      </c>
      <c r="BV3" s="172" t="s">
        <v>10</v>
      </c>
      <c r="BW3" s="172" t="s">
        <v>11</v>
      </c>
      <c r="BX3" s="172" t="s">
        <v>12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34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35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105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174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158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106</v>
      </c>
      <c r="C14" s="31">
        <f>-' Financial Highlights'!C31</f>
        <v>-45.2348993288591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-157.85234899328901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-361.34228187919501</v>
      </c>
      <c r="AN14" s="85">
        <f>(-' Financial Highlights'!AU31)</f>
        <v>-369.26174496644302</v>
      </c>
      <c r="AO14" s="84">
        <f>(-' Financial Highlights'!AV31)</f>
        <v>-256.24161073825502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110</v>
      </c>
      <c r="C15" s="123">
        <f>SUM(C11:C14)</f>
        <v>613.69127516778519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1072.3026845637578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246.72348993288557</v>
      </c>
      <c r="AN15" s="144">
        <f>SUM(AN11:AN14)</f>
        <v>277.29154362416097</v>
      </c>
      <c r="AO15" s="124">
        <f>SUM(AO11:AO14)</f>
        <v>396.70389261744975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36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73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97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37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163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98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89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74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38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39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74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40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99</v>
      </c>
      <c r="C32" s="32">
        <f>C15/C28</f>
        <v>8.6590909090909065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10.51138815789473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1.7259061032863827</v>
      </c>
      <c r="AN32" s="33">
        <f>AN15/AN28</f>
        <v>2.0658219999999994</v>
      </c>
      <c r="AO32" s="71">
        <f>AO15/AO28</f>
        <v>2.8445081809432153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100</v>
      </c>
      <c r="C33" s="32">
        <f>C15/C26</f>
        <v>7.8556701030927805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10.334611901681754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1.7340471698113185</v>
      </c>
      <c r="AN33" s="33">
        <f>AN15/AN26</f>
        <v>2.0678898898898894</v>
      </c>
      <c r="AO33" s="71">
        <f>AO15/AO26</f>
        <v>2.8693631067961167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47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166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-2.5276995305164345</v>
      </c>
      <c r="AN36" s="168">
        <f>AN14/AN24</f>
        <v>-2.7510000000000008</v>
      </c>
      <c r="AO36" s="167">
        <f>AO14/AO24</f>
        <v>-1.8373435996150143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168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167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169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AB1:AE1"/>
    <mergeCell ref="AB2:AE2"/>
    <mergeCell ref="AQ1:AT1"/>
    <mergeCell ref="AQ2:AT2"/>
    <mergeCell ref="AG1:AJ1"/>
    <mergeCell ref="AG2:AJ2"/>
    <mergeCell ref="BP1:BS1"/>
    <mergeCell ref="BP2:BS2"/>
    <mergeCell ref="BK1:BN1"/>
    <mergeCell ref="BK2:BN2"/>
    <mergeCell ref="BF1:BI1"/>
    <mergeCell ref="BF2:BI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2017-2023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2017-2023'!Print_Area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Larsen, Oliver Oscar</cp:lastModifiedBy>
  <cp:lastPrinted>2019-05-14T13:27:52Z</cp:lastPrinted>
  <dcterms:created xsi:type="dcterms:W3CDTF">2003-02-28T10:07:39Z</dcterms:created>
  <dcterms:modified xsi:type="dcterms:W3CDTF">2023-05-10T09:58:37Z</dcterms:modified>
</cp:coreProperties>
</file>