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K:\Consolidation\Reporting\2020\2020 M3\Q1 External\"/>
    </mc:Choice>
  </mc:AlternateContent>
  <xr:revisionPtr revIDLastSave="0" documentId="10_ncr:100000_{1B42F7C3-79FD-4E14-BF73-3CD50687868C}" xr6:coauthVersionLast="31" xr6:coauthVersionMax="31" xr10:uidLastSave="{00000000-0000-0000-0000-000000000000}"/>
  <bookViews>
    <workbookView xWindow="0" yWindow="0" windowWidth="28800" windowHeight="14010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 2017-2020" sheetId="7" r:id="rId5"/>
    <sheet name="OLD Segment Data 2005-2019" sheetId="4" r:id="rId6"/>
    <sheet name="OLD Valuation 2005-2019" sheetId="6" r:id="rId7"/>
  </sheets>
  <definedNames>
    <definedName name="_xlnm.Print_Area" localSheetId="1">' Financial Highlights'!$BV$3:$CM$49</definedName>
    <definedName name="_xlnm.Print_Area" localSheetId="2">'Balance Sheet'!$BJ$4:$BX$47</definedName>
    <definedName name="_xlnm.Print_Area" localSheetId="3">Cashflow!$BV$5:$CM$21</definedName>
    <definedName name="_xlnm.Print_Area" localSheetId="0">'Front Page'!$A$1:$N$25</definedName>
    <definedName name="_xlnm.Print_Area" localSheetId="5">'OLD Segment Data 2005-2019'!$BV$4:$CM$85</definedName>
    <definedName name="_xlnm.Print_Area" localSheetId="6">'OLD Valuation 2005-2019'!$BJ$4:$BX$38</definedName>
    <definedName name="_xlnm.Print_Area" localSheetId="4">'Segment Data 2017-2020'!$C$4:$S$103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5">'OLD Segment Data 2005-2019'!$A:$A,'OLD Segment Data 2005-2019'!$1:$3</definedName>
    <definedName name="_xlnm.Print_Titles" localSheetId="6">'OLD Valuation 2005-2019'!$A:$A,'OLD Valuation 2005-2019'!$1:$3</definedName>
    <definedName name="_xlnm.Print_Titles" localSheetId="4">'Segment Data 2017-2020'!$A:$A,'Segment Data 2017-2020'!$1:$3</definedName>
  </definedNames>
  <calcPr calcId="179017" calcOnSave="0"/>
</workbook>
</file>

<file path=xl/calcChain.xml><?xml version="1.0" encoding="utf-8"?>
<calcChain xmlns="http://schemas.openxmlformats.org/spreadsheetml/2006/main">
  <c r="M49" i="7" l="1"/>
  <c r="L49" i="7"/>
  <c r="M48" i="7"/>
  <c r="CO46" i="1" l="1"/>
  <c r="CO15" i="3" l="1"/>
  <c r="CO10" i="3"/>
  <c r="BZ40" i="2"/>
  <c r="BZ28" i="2"/>
  <c r="BX27" i="2"/>
  <c r="BW27" i="2"/>
  <c r="BV27" i="2"/>
  <c r="BU27" i="2"/>
  <c r="BX26" i="2"/>
  <c r="BW26" i="2"/>
  <c r="BV26" i="2"/>
  <c r="BU26" i="2"/>
  <c r="BZ25" i="2"/>
  <c r="BZ12" i="2"/>
  <c r="BX7" i="2"/>
  <c r="BW7" i="2"/>
  <c r="BV7" i="2"/>
  <c r="BU7" i="2"/>
  <c r="BZ8" i="2"/>
  <c r="CL8" i="1"/>
  <c r="CK8" i="1"/>
  <c r="CJ8" i="1"/>
  <c r="CI8" i="1"/>
  <c r="U39" i="7"/>
  <c r="Y35" i="7"/>
  <c r="S90" i="7" l="1"/>
  <c r="S89" i="7"/>
  <c r="S91" i="7" s="1"/>
  <c r="M90" i="7"/>
  <c r="M89" i="7"/>
  <c r="G90" i="7"/>
  <c r="G89" i="7"/>
  <c r="Y78" i="7"/>
  <c r="Y77" i="7"/>
  <c r="Y75" i="7"/>
  <c r="Y74" i="7"/>
  <c r="Y73" i="7"/>
  <c r="Y72" i="7"/>
  <c r="S78" i="7"/>
  <c r="S77" i="7"/>
  <c r="S75" i="7"/>
  <c r="S74" i="7"/>
  <c r="S73" i="7"/>
  <c r="S72" i="7"/>
  <c r="M78" i="7"/>
  <c r="M77" i="7"/>
  <c r="M75" i="7"/>
  <c r="M74" i="7"/>
  <c r="M73" i="7"/>
  <c r="M72" i="7"/>
  <c r="G78" i="7"/>
  <c r="G77" i="7"/>
  <c r="G75" i="7"/>
  <c r="G74" i="7"/>
  <c r="G73" i="7"/>
  <c r="G72" i="7"/>
  <c r="M91" i="7" l="1"/>
  <c r="S38" i="7"/>
  <c r="R40" i="7"/>
  <c r="Q40" i="7"/>
  <c r="P40" i="7"/>
  <c r="O40" i="7"/>
  <c r="L40" i="7"/>
  <c r="K40" i="7"/>
  <c r="J40" i="7"/>
  <c r="I40" i="7"/>
  <c r="F40" i="7"/>
  <c r="E40" i="7"/>
  <c r="D40" i="7"/>
  <c r="C40" i="7"/>
  <c r="R35" i="7"/>
  <c r="L35" i="7"/>
  <c r="G35" i="7"/>
  <c r="U64" i="7" l="1"/>
  <c r="R64" i="7"/>
  <c r="Q64" i="7"/>
  <c r="P64" i="7"/>
  <c r="O64" i="7"/>
  <c r="L64" i="7"/>
  <c r="K64" i="7"/>
  <c r="J64" i="7"/>
  <c r="I64" i="7"/>
  <c r="E64" i="7"/>
  <c r="D64" i="7"/>
  <c r="C64" i="7"/>
  <c r="Y63" i="7"/>
  <c r="S63" i="7"/>
  <c r="M63" i="7"/>
  <c r="Y62" i="7"/>
  <c r="S62" i="7"/>
  <c r="M62" i="7"/>
  <c r="U59" i="7"/>
  <c r="R59" i="7"/>
  <c r="Q59" i="7"/>
  <c r="P59" i="7"/>
  <c r="O59" i="7"/>
  <c r="L59" i="7"/>
  <c r="K59" i="7"/>
  <c r="J59" i="7"/>
  <c r="I59" i="7"/>
  <c r="E59" i="7"/>
  <c r="D59" i="7"/>
  <c r="C59" i="7"/>
  <c r="Y58" i="7"/>
  <c r="S58" i="7"/>
  <c r="M58" i="7"/>
  <c r="Y57" i="7"/>
  <c r="S57" i="7"/>
  <c r="M57" i="7"/>
  <c r="U69" i="7"/>
  <c r="R69" i="7"/>
  <c r="Q69" i="7"/>
  <c r="P69" i="7"/>
  <c r="O69" i="7"/>
  <c r="L69" i="7"/>
  <c r="K69" i="7"/>
  <c r="J69" i="7"/>
  <c r="I69" i="7"/>
  <c r="F69" i="7"/>
  <c r="E69" i="7"/>
  <c r="D69" i="7"/>
  <c r="C69" i="7"/>
  <c r="Y68" i="7"/>
  <c r="S68" i="7"/>
  <c r="M68" i="7"/>
  <c r="G68" i="7"/>
  <c r="Y67" i="7"/>
  <c r="S67" i="7"/>
  <c r="M67" i="7"/>
  <c r="G67" i="7"/>
  <c r="U91" i="7"/>
  <c r="CO32" i="1" s="1"/>
  <c r="U76" i="7"/>
  <c r="U79" i="7" s="1"/>
  <c r="U54" i="7"/>
  <c r="Y53" i="7"/>
  <c r="Y52" i="7"/>
  <c r="Y48" i="7"/>
  <c r="U47" i="7"/>
  <c r="U49" i="7" s="1"/>
  <c r="Y46" i="7"/>
  <c r="Y45" i="7"/>
  <c r="Y44" i="7"/>
  <c r="Y43" i="7"/>
  <c r="Y39" i="7"/>
  <c r="Y32" i="7"/>
  <c r="Y31" i="7"/>
  <c r="U30" i="7"/>
  <c r="Y29" i="7"/>
  <c r="Y28" i="7"/>
  <c r="Y27" i="7"/>
  <c r="Y26" i="7"/>
  <c r="Y22" i="7"/>
  <c r="Y21" i="7"/>
  <c r="U20" i="7"/>
  <c r="U23" i="7" s="1"/>
  <c r="CO24" i="1" s="1"/>
  <c r="Y19" i="7"/>
  <c r="Y18" i="7"/>
  <c r="Y17" i="7"/>
  <c r="Y16" i="7"/>
  <c r="Y12" i="7"/>
  <c r="Y11" i="7"/>
  <c r="U10" i="7"/>
  <c r="U13" i="7" s="1"/>
  <c r="CO5" i="1" s="1"/>
  <c r="Y9" i="7"/>
  <c r="Y8" i="7"/>
  <c r="Y7" i="7"/>
  <c r="Y6" i="7"/>
  <c r="R91" i="7"/>
  <c r="Q91" i="7"/>
  <c r="P91" i="7"/>
  <c r="O91" i="7"/>
  <c r="R76" i="7"/>
  <c r="Q76" i="7"/>
  <c r="Q79" i="7" s="1"/>
  <c r="P76" i="7"/>
  <c r="P79" i="7" s="1"/>
  <c r="O76" i="7"/>
  <c r="O79" i="7" s="1"/>
  <c r="R54" i="7"/>
  <c r="Q54" i="7"/>
  <c r="P54" i="7"/>
  <c r="O54" i="7"/>
  <c r="S53" i="7"/>
  <c r="S52" i="7"/>
  <c r="S48" i="7"/>
  <c r="R47" i="7"/>
  <c r="R49" i="7" s="1"/>
  <c r="Q47" i="7"/>
  <c r="Q49" i="7" s="1"/>
  <c r="P47" i="7"/>
  <c r="P49" i="7" s="1"/>
  <c r="O47" i="7"/>
  <c r="O49" i="7" s="1"/>
  <c r="S46" i="7"/>
  <c r="S45" i="7"/>
  <c r="S44" i="7"/>
  <c r="S43" i="7"/>
  <c r="S39" i="7"/>
  <c r="S40" i="7" s="1"/>
  <c r="S32" i="7"/>
  <c r="S31" i="7"/>
  <c r="R30" i="7"/>
  <c r="R33" i="7" s="1"/>
  <c r="Q30" i="7"/>
  <c r="Q33" i="7" s="1"/>
  <c r="P30" i="7"/>
  <c r="P33" i="7" s="1"/>
  <c r="O30" i="7"/>
  <c r="O33" i="7" s="1"/>
  <c r="S29" i="7"/>
  <c r="S28" i="7"/>
  <c r="S27" i="7"/>
  <c r="S26" i="7"/>
  <c r="S22" i="7"/>
  <c r="S21" i="7"/>
  <c r="R20" i="7"/>
  <c r="R23" i="7" s="1"/>
  <c r="Q20" i="7"/>
  <c r="Q23" i="7" s="1"/>
  <c r="P20" i="7"/>
  <c r="P23" i="7" s="1"/>
  <c r="O20" i="7"/>
  <c r="O23" i="7" s="1"/>
  <c r="S19" i="7"/>
  <c r="S18" i="7"/>
  <c r="S17" i="7"/>
  <c r="S16" i="7"/>
  <c r="S12" i="7"/>
  <c r="S11" i="7"/>
  <c r="R10" i="7"/>
  <c r="R13" i="7" s="1"/>
  <c r="Q10" i="7"/>
  <c r="Q13" i="7" s="1"/>
  <c r="P10" i="7"/>
  <c r="P13" i="7" s="1"/>
  <c r="O10" i="7"/>
  <c r="O13" i="7" s="1"/>
  <c r="S9" i="7"/>
  <c r="S8" i="7"/>
  <c r="S7" i="7"/>
  <c r="S6" i="7"/>
  <c r="L91" i="7"/>
  <c r="K91" i="7"/>
  <c r="J91" i="7"/>
  <c r="I91" i="7"/>
  <c r="L76" i="7"/>
  <c r="K76" i="7"/>
  <c r="K79" i="7" s="1"/>
  <c r="J76" i="7"/>
  <c r="J79" i="7" s="1"/>
  <c r="I76" i="7"/>
  <c r="I79" i="7" s="1"/>
  <c r="L54" i="7"/>
  <c r="K54" i="7"/>
  <c r="J54" i="7"/>
  <c r="I54" i="7"/>
  <c r="M53" i="7"/>
  <c r="M52" i="7"/>
  <c r="L47" i="7"/>
  <c r="K47" i="7"/>
  <c r="K49" i="7" s="1"/>
  <c r="J47" i="7"/>
  <c r="J49" i="7" s="1"/>
  <c r="I47" i="7"/>
  <c r="I49" i="7" s="1"/>
  <c r="M46" i="7"/>
  <c r="M45" i="7"/>
  <c r="M44" i="7"/>
  <c r="M43" i="7"/>
  <c r="M39" i="7"/>
  <c r="M38" i="7"/>
  <c r="M32" i="7"/>
  <c r="M31" i="7"/>
  <c r="L30" i="7"/>
  <c r="L33" i="7" s="1"/>
  <c r="K30" i="7"/>
  <c r="K33" i="7" s="1"/>
  <c r="J30" i="7"/>
  <c r="J33" i="7" s="1"/>
  <c r="I30" i="7"/>
  <c r="I33" i="7" s="1"/>
  <c r="M29" i="7"/>
  <c r="M28" i="7"/>
  <c r="M27" i="7"/>
  <c r="M26" i="7"/>
  <c r="M22" i="7"/>
  <c r="M21" i="7"/>
  <c r="L20" i="7"/>
  <c r="L23" i="7" s="1"/>
  <c r="K20" i="7"/>
  <c r="K23" i="7" s="1"/>
  <c r="J20" i="7"/>
  <c r="J23" i="7" s="1"/>
  <c r="I20" i="7"/>
  <c r="I23" i="7" s="1"/>
  <c r="M19" i="7"/>
  <c r="M18" i="7"/>
  <c r="M17" i="7"/>
  <c r="M16" i="7"/>
  <c r="M12" i="7"/>
  <c r="M11" i="7"/>
  <c r="K10" i="7"/>
  <c r="K13" i="7" s="1"/>
  <c r="J10" i="7"/>
  <c r="J13" i="7" s="1"/>
  <c r="I10" i="7"/>
  <c r="I13" i="7" s="1"/>
  <c r="F91" i="7"/>
  <c r="E91" i="7"/>
  <c r="D91" i="7"/>
  <c r="C91" i="7"/>
  <c r="F76" i="7"/>
  <c r="E76" i="7"/>
  <c r="E79" i="7" s="1"/>
  <c r="D76" i="7"/>
  <c r="D79" i="7" s="1"/>
  <c r="C76" i="7"/>
  <c r="C79" i="7" s="1"/>
  <c r="F54" i="7"/>
  <c r="E54" i="7"/>
  <c r="D54" i="7"/>
  <c r="C54" i="7"/>
  <c r="G53" i="7"/>
  <c r="G52" i="7"/>
  <c r="G39" i="7"/>
  <c r="G38" i="7"/>
  <c r="G48" i="7"/>
  <c r="F47" i="7"/>
  <c r="F49" i="7" s="1"/>
  <c r="E47" i="7"/>
  <c r="E49" i="7" s="1"/>
  <c r="D47" i="7"/>
  <c r="D49" i="7" s="1"/>
  <c r="C47" i="7"/>
  <c r="C49" i="7" s="1"/>
  <c r="G46" i="7"/>
  <c r="G45" i="7"/>
  <c r="G44" i="7"/>
  <c r="G43" i="7"/>
  <c r="G32" i="7"/>
  <c r="G31" i="7"/>
  <c r="F30" i="7"/>
  <c r="F33" i="7" s="1"/>
  <c r="E30" i="7"/>
  <c r="E33" i="7" s="1"/>
  <c r="D30" i="7"/>
  <c r="D33" i="7" s="1"/>
  <c r="C30" i="7"/>
  <c r="C33" i="7" s="1"/>
  <c r="G29" i="7"/>
  <c r="G28" i="7"/>
  <c r="G27" i="7"/>
  <c r="G26" i="7"/>
  <c r="G22" i="7"/>
  <c r="G21" i="7"/>
  <c r="F20" i="7"/>
  <c r="F23" i="7" s="1"/>
  <c r="E20" i="7"/>
  <c r="E23" i="7" s="1"/>
  <c r="D20" i="7"/>
  <c r="D23" i="7" s="1"/>
  <c r="C20" i="7"/>
  <c r="C23" i="7" s="1"/>
  <c r="G19" i="7"/>
  <c r="G18" i="7"/>
  <c r="G17" i="7"/>
  <c r="G16" i="7"/>
  <c r="C10" i="7"/>
  <c r="C13" i="7" s="1"/>
  <c r="F10" i="7"/>
  <c r="F13" i="7" s="1"/>
  <c r="E10" i="7"/>
  <c r="E13" i="7" s="1"/>
  <c r="D10" i="7"/>
  <c r="D13" i="7" s="1"/>
  <c r="G12" i="7"/>
  <c r="G11" i="7"/>
  <c r="G9" i="7"/>
  <c r="G8" i="7"/>
  <c r="G7" i="7"/>
  <c r="G6" i="7"/>
  <c r="CO19" i="3"/>
  <c r="CO11" i="3"/>
  <c r="CS18" i="3"/>
  <c r="CS17" i="3"/>
  <c r="CS16" i="3"/>
  <c r="CS15" i="3"/>
  <c r="CS14" i="3"/>
  <c r="CS13" i="3"/>
  <c r="CS10" i="3"/>
  <c r="CS7" i="3"/>
  <c r="CS6" i="3"/>
  <c r="BZ24" i="2"/>
  <c r="BZ30" i="2" s="1"/>
  <c r="BZ16" i="2"/>
  <c r="BZ9" i="2"/>
  <c r="CS20" i="1"/>
  <c r="CS18" i="1"/>
  <c r="CS17" i="1"/>
  <c r="CS15" i="1"/>
  <c r="CS13" i="1"/>
  <c r="CS10" i="1"/>
  <c r="CS9" i="1"/>
  <c r="CS8" i="1"/>
  <c r="M40" i="7" l="1"/>
  <c r="U33" i="7"/>
  <c r="U38" i="7"/>
  <c r="CO21" i="3"/>
  <c r="G40" i="7"/>
  <c r="Y76" i="7"/>
  <c r="Y79" i="7" s="1"/>
  <c r="BZ18" i="2"/>
  <c r="CO30" i="1" s="1"/>
  <c r="F79" i="7"/>
  <c r="G76" i="7"/>
  <c r="G79" i="7" s="1"/>
  <c r="R79" i="7"/>
  <c r="S76" i="7"/>
  <c r="S79" i="7" s="1"/>
  <c r="L79" i="7"/>
  <c r="M76" i="7"/>
  <c r="M79" i="7" s="1"/>
  <c r="M59" i="7"/>
  <c r="M64" i="7"/>
  <c r="S64" i="7"/>
  <c r="Y59" i="7"/>
  <c r="Y64" i="7"/>
  <c r="CS19" i="3"/>
  <c r="S59" i="7"/>
  <c r="G91" i="7"/>
  <c r="Y69" i="7"/>
  <c r="M30" i="7"/>
  <c r="M33" i="7" s="1"/>
  <c r="S54" i="7"/>
  <c r="Y54" i="7"/>
  <c r="G54" i="7"/>
  <c r="S69" i="7"/>
  <c r="S30" i="7"/>
  <c r="S33" i="7" s="1"/>
  <c r="M54" i="7"/>
  <c r="S20" i="7"/>
  <c r="S23" i="7" s="1"/>
  <c r="M47" i="7"/>
  <c r="Y47" i="7"/>
  <c r="Y49" i="7" s="1"/>
  <c r="S10" i="7"/>
  <c r="S13" i="7" s="1"/>
  <c r="S47" i="7"/>
  <c r="S49" i="7" s="1"/>
  <c r="Y30" i="7"/>
  <c r="Y33" i="7" s="1"/>
  <c r="G69" i="7"/>
  <c r="M20" i="7"/>
  <c r="M23" i="7" s="1"/>
  <c r="Y20" i="7"/>
  <c r="Y23" i="7" s="1"/>
  <c r="M69" i="7"/>
  <c r="Y10" i="7"/>
  <c r="Y13" i="7" s="1"/>
  <c r="G10" i="7"/>
  <c r="G13" i="7" s="1"/>
  <c r="G47" i="7"/>
  <c r="G49" i="7" s="1"/>
  <c r="G30" i="7"/>
  <c r="G33" i="7" s="1"/>
  <c r="G20" i="7"/>
  <c r="G23" i="7" s="1"/>
  <c r="CS11" i="3"/>
  <c r="CS5" i="1"/>
  <c r="CS45" i="1"/>
  <c r="CS44" i="1"/>
  <c r="CO37" i="1"/>
  <c r="CS37" i="1" s="1"/>
  <c r="CO36" i="1"/>
  <c r="CS36" i="1" s="1"/>
  <c r="CO41" i="1"/>
  <c r="CS24" i="1"/>
  <c r="CS12" i="1"/>
  <c r="U40" i="7" l="1"/>
  <c r="CO7" i="1" s="1"/>
  <c r="CS7" i="1" s="1"/>
  <c r="CS11" i="1" s="1"/>
  <c r="CS14" i="1" s="1"/>
  <c r="CS16" i="1" s="1"/>
  <c r="CS19" i="1" s="1"/>
  <c r="CS21" i="1" s="1"/>
  <c r="Y38" i="7"/>
  <c r="Y40" i="7" s="1"/>
  <c r="CS21" i="3"/>
  <c r="CO11" i="1" l="1"/>
  <c r="CO14" i="1" s="1"/>
  <c r="CO16" i="1" s="1"/>
  <c r="CO19" i="1" s="1"/>
  <c r="BU27" i="6"/>
  <c r="BW27" i="6"/>
  <c r="BX7" i="6"/>
  <c r="BX11" i="6" s="1"/>
  <c r="BX15" i="6" s="1"/>
  <c r="BV7" i="6"/>
  <c r="CL19" i="3"/>
  <c r="CL11" i="3"/>
  <c r="BX39" i="2"/>
  <c r="BX28" i="2"/>
  <c r="BX25" i="2"/>
  <c r="BX24" i="2"/>
  <c r="BX12" i="2"/>
  <c r="BX16" i="2" s="1"/>
  <c r="BX9" i="2"/>
  <c r="CL46" i="1"/>
  <c r="CK46" i="1"/>
  <c r="CL41" i="1"/>
  <c r="CK41" i="1"/>
  <c r="CO21" i="1" l="1"/>
  <c r="BZ38" i="2"/>
  <c r="BX18" i="2"/>
  <c r="CL21" i="3"/>
  <c r="BX30" i="2"/>
  <c r="CL78" i="4" l="1"/>
  <c r="CL32" i="1" s="1"/>
  <c r="CL68" i="4"/>
  <c r="CL41" i="4"/>
  <c r="CL40" i="4"/>
  <c r="CL38" i="4"/>
  <c r="CL7" i="1" s="1"/>
  <c r="CL11" i="1" s="1"/>
  <c r="CL14" i="1" s="1"/>
  <c r="CL16" i="1" s="1"/>
  <c r="CL19" i="1" s="1"/>
  <c r="CL28" i="4"/>
  <c r="CL26" i="4"/>
  <c r="CL24" i="4"/>
  <c r="CL13" i="4"/>
  <c r="CK13" i="4"/>
  <c r="CK16" i="4" s="1"/>
  <c r="CM6" i="4"/>
  <c r="CL21" i="1" l="1"/>
  <c r="BX38" i="2"/>
  <c r="CL5" i="1"/>
  <c r="CL16" i="4"/>
  <c r="CL24" i="1" s="1"/>
  <c r="CL39" i="4"/>
  <c r="CL25" i="4"/>
  <c r="BW7" i="6" l="1"/>
  <c r="BW11" i="6" s="1"/>
  <c r="BW15" i="6" s="1"/>
  <c r="BU7" i="6"/>
  <c r="CK15" i="3"/>
  <c r="CK19" i="3" s="1"/>
  <c r="CK10" i="3"/>
  <c r="CK11" i="3" s="1"/>
  <c r="BW28" i="2"/>
  <c r="BW25" i="2"/>
  <c r="BW24" i="2"/>
  <c r="BW12" i="2"/>
  <c r="BW16" i="2" s="1"/>
  <c r="BW9" i="2"/>
  <c r="CK37" i="1"/>
  <c r="CK5" i="1"/>
  <c r="CK78" i="4"/>
  <c r="CK32" i="1" s="1"/>
  <c r="CK68" i="4"/>
  <c r="CJ40" i="4"/>
  <c r="CJ41" i="4"/>
  <c r="CK41" i="4"/>
  <c r="CK40" i="4"/>
  <c r="CK38" i="4"/>
  <c r="CK7" i="1" s="1"/>
  <c r="CK28" i="4"/>
  <c r="CK26" i="4"/>
  <c r="CK24" i="4"/>
  <c r="CK24" i="1"/>
  <c r="BW18" i="2" l="1"/>
  <c r="CK21" i="3"/>
  <c r="BW30" i="2"/>
  <c r="CK25" i="4"/>
  <c r="CK39" i="4"/>
  <c r="CK11" i="1"/>
  <c r="CK14" i="1" s="1"/>
  <c r="CK16" i="1" s="1"/>
  <c r="CK19" i="1" s="1"/>
  <c r="BV27" i="6"/>
  <c r="BV11" i="6"/>
  <c r="BV15" i="6" s="1"/>
  <c r="BW38" i="2" l="1"/>
  <c r="CK21" i="1"/>
  <c r="CJ46" i="1"/>
  <c r="BV28" i="2"/>
  <c r="BV25" i="2"/>
  <c r="BV24" i="2"/>
  <c r="BV12" i="2"/>
  <c r="BV16" i="2" s="1"/>
  <c r="BV9" i="2"/>
  <c r="CJ15" i="3"/>
  <c r="CJ37" i="1" s="1"/>
  <c r="CJ10" i="3"/>
  <c r="CJ11" i="3" s="1"/>
  <c r="CJ78" i="4"/>
  <c r="CJ68" i="4"/>
  <c r="CJ38" i="4"/>
  <c r="CJ28" i="4"/>
  <c r="CJ24" i="4"/>
  <c r="CJ26" i="4"/>
  <c r="CJ13" i="4"/>
  <c r="CJ7" i="1" l="1"/>
  <c r="CJ11" i="1" s="1"/>
  <c r="CJ14" i="1" s="1"/>
  <c r="CJ16" i="1" s="1"/>
  <c r="CJ19" i="1" s="1"/>
  <c r="CJ21" i="1" s="1"/>
  <c r="CJ16" i="4"/>
  <c r="CJ25" i="4" s="1"/>
  <c r="CJ39" i="4"/>
  <c r="BV18" i="2"/>
  <c r="CJ30" i="1" s="1"/>
  <c r="CJ41" i="1" s="1"/>
  <c r="BV30" i="2"/>
  <c r="CJ36" i="1"/>
  <c r="CJ19" i="3"/>
  <c r="CJ21" i="3" s="1"/>
  <c r="BV38" i="2" l="1"/>
  <c r="CJ24" i="1"/>
  <c r="CI46" i="1"/>
  <c r="CM45" i="1"/>
  <c r="CM44" i="1"/>
  <c r="CM20" i="1"/>
  <c r="CM18" i="1"/>
  <c r="CM17" i="1"/>
  <c r="CM15" i="1"/>
  <c r="CM13" i="1"/>
  <c r="CM12" i="1"/>
  <c r="CM10" i="1"/>
  <c r="CM9" i="1"/>
  <c r="CM8" i="1"/>
  <c r="BU28" i="2"/>
  <c r="BU25" i="2"/>
  <c r="BU24" i="2"/>
  <c r="BU16" i="2"/>
  <c r="BU9" i="2"/>
  <c r="CI15" i="3"/>
  <c r="CM15" i="3" s="1"/>
  <c r="CI10" i="3"/>
  <c r="CI11" i="3" s="1"/>
  <c r="CI36" i="1" s="1"/>
  <c r="CM36" i="1" s="1"/>
  <c r="CM18" i="3"/>
  <c r="CM17" i="3"/>
  <c r="CM16" i="3"/>
  <c r="CM14" i="3"/>
  <c r="CM13" i="3"/>
  <c r="CM7" i="3"/>
  <c r="CM6" i="3"/>
  <c r="CC28" i="4"/>
  <c r="CI28" i="4"/>
  <c r="CI78" i="4"/>
  <c r="CI32" i="1" s="1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BX27" i="6" s="1"/>
  <c r="CM21" i="4"/>
  <c r="CM15" i="4"/>
  <c r="CI13" i="4"/>
  <c r="CM12" i="4"/>
  <c r="CM11" i="4"/>
  <c r="CM9" i="4"/>
  <c r="CM8" i="4"/>
  <c r="BU11" i="6"/>
  <c r="BU15" i="6" s="1"/>
  <c r="CI39" i="4" l="1"/>
  <c r="CI7" i="1"/>
  <c r="CM7" i="1" s="1"/>
  <c r="CM11" i="1" s="1"/>
  <c r="CM14" i="1" s="1"/>
  <c r="CM16" i="1" s="1"/>
  <c r="CM19" i="1" s="1"/>
  <c r="CM21" i="1" s="1"/>
  <c r="CI37" i="1"/>
  <c r="CM37" i="1" s="1"/>
  <c r="CI5" i="1"/>
  <c r="CM5" i="1" s="1"/>
  <c r="BU30" i="2"/>
  <c r="BU18" i="2"/>
  <c r="CI30" i="1" s="1"/>
  <c r="CI41" i="1" s="1"/>
  <c r="CI19" i="3"/>
  <c r="CI21" i="3" s="1"/>
  <c r="CM19" i="3"/>
  <c r="CM10" i="3"/>
  <c r="CI16" i="4"/>
  <c r="CM40" i="4"/>
  <c r="CM68" i="4"/>
  <c r="CM10" i="4"/>
  <c r="CM28" i="4" s="1"/>
  <c r="CM19" i="4"/>
  <c r="CM41" i="4"/>
  <c r="CM38" i="4"/>
  <c r="BX17" i="6" s="1"/>
  <c r="CF29" i="1"/>
  <c r="CF28" i="1"/>
  <c r="BS21" i="2"/>
  <c r="BS7" i="6"/>
  <c r="BS11" i="6" s="1"/>
  <c r="CM11" i="3" l="1"/>
  <c r="CM21" i="3" s="1"/>
  <c r="CI11" i="1"/>
  <c r="CI14" i="1" s="1"/>
  <c r="CI16" i="1" s="1"/>
  <c r="CI19" i="1" s="1"/>
  <c r="CI21" i="1" s="1"/>
  <c r="CI25" i="4"/>
  <c r="CI24" i="1"/>
  <c r="CM24" i="1" s="1"/>
  <c r="CM13" i="4"/>
  <c r="CM39" i="4" s="1"/>
  <c r="CM16" i="4"/>
  <c r="CM26" i="4"/>
  <c r="CM24" i="4"/>
  <c r="BX24" i="6" s="1"/>
  <c r="CF46" i="1"/>
  <c r="CF37" i="1"/>
  <c r="CF36" i="1"/>
  <c r="CF18" i="1"/>
  <c r="CF15" i="1"/>
  <c r="CF9" i="1"/>
  <c r="CF8" i="1"/>
  <c r="CF7" i="1"/>
  <c r="CF5" i="1"/>
  <c r="BX21" i="6" l="1"/>
  <c r="BX36" i="6"/>
  <c r="BX26" i="6"/>
  <c r="BU38" i="2"/>
  <c r="CF11" i="1"/>
  <c r="CF14" i="1" s="1"/>
  <c r="CF16" i="1" s="1"/>
  <c r="CF19" i="1" s="1"/>
  <c r="CF21" i="1" s="1"/>
  <c r="CM25" i="4"/>
  <c r="BS28" i="2"/>
  <c r="BS25" i="2"/>
  <c r="BS12" i="2"/>
  <c r="CF15" i="3"/>
  <c r="CF10" i="3"/>
  <c r="BX28" i="6" l="1"/>
  <c r="BX32" i="6" s="1"/>
  <c r="BX33" i="6"/>
  <c r="CF19" i="4"/>
  <c r="CF15" i="4"/>
  <c r="CF41" i="4" s="1"/>
  <c r="CF10" i="4"/>
  <c r="CF28" i="4" s="1"/>
  <c r="CF6" i="4"/>
  <c r="CF40" i="4" s="1"/>
  <c r="CF26" i="4" l="1"/>
  <c r="CE46" i="1"/>
  <c r="CE11" i="1"/>
  <c r="CE14" i="1" s="1"/>
  <c r="CE16" i="1" s="1"/>
  <c r="CE19" i="1" s="1"/>
  <c r="CE21" i="1" s="1"/>
  <c r="BR42" i="2"/>
  <c r="BR28" i="2"/>
  <c r="BR25" i="2"/>
  <c r="BR12" i="2"/>
  <c r="CE15" i="3"/>
  <c r="CE37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28" i="2"/>
  <c r="BQ25" i="2"/>
  <c r="BQ12" i="2"/>
  <c r="CD41" i="1"/>
  <c r="CD11" i="1"/>
  <c r="CD14" i="1" s="1"/>
  <c r="CD16" i="1" s="1"/>
  <c r="CD19" i="1" s="1"/>
  <c r="CD21" i="1" s="1"/>
  <c r="CC46" i="1" l="1"/>
  <c r="CG45" i="1"/>
  <c r="CG44" i="1"/>
  <c r="CC37" i="1"/>
  <c r="CG37" i="1" s="1"/>
  <c r="CG20" i="1"/>
  <c r="CG18" i="1"/>
  <c r="CG17" i="1"/>
  <c r="CG15" i="1"/>
  <c r="CG13" i="1"/>
  <c r="CG12" i="1"/>
  <c r="CG10" i="1"/>
  <c r="CG9" i="1"/>
  <c r="CG8" i="1"/>
  <c r="BP28" i="2"/>
  <c r="BP25" i="2"/>
  <c r="BP12" i="2"/>
  <c r="BP16" i="2" s="1"/>
  <c r="BS24" i="2"/>
  <c r="BS30" i="2" s="1"/>
  <c r="BR24" i="2"/>
  <c r="BR30" i="2" s="1"/>
  <c r="BQ24" i="2"/>
  <c r="BQ30" i="2" s="1"/>
  <c r="BP24" i="2"/>
  <c r="BR16" i="2"/>
  <c r="BQ16" i="2"/>
  <c r="BS16" i="2"/>
  <c r="BS9" i="2"/>
  <c r="BR9" i="2"/>
  <c r="BQ9" i="2"/>
  <c r="BP9" i="2"/>
  <c r="CC10" i="3"/>
  <c r="CG10" i="3" s="1"/>
  <c r="CG18" i="3"/>
  <c r="CG17" i="3"/>
  <c r="CG16" i="3"/>
  <c r="CG15" i="3"/>
  <c r="CG14" i="3"/>
  <c r="CG13" i="3"/>
  <c r="CF19" i="3"/>
  <c r="CE19" i="3"/>
  <c r="CF11" i="3"/>
  <c r="CG7" i="3"/>
  <c r="CE11" i="3"/>
  <c r="CE36" i="1" s="1"/>
  <c r="CD11" i="3"/>
  <c r="CE21" i="3" l="1"/>
  <c r="BR18" i="2"/>
  <c r="CE30" i="1" s="1"/>
  <c r="CE41" i="1" s="1"/>
  <c r="BS18" i="2"/>
  <c r="CF30" i="1" s="1"/>
  <c r="CF41" i="1" s="1"/>
  <c r="CC11" i="3"/>
  <c r="CC36" i="1" s="1"/>
  <c r="CG36" i="1" s="1"/>
  <c r="BP30" i="2"/>
  <c r="BP18" i="2"/>
  <c r="CC30" i="1" s="1"/>
  <c r="CC41" i="1" s="1"/>
  <c r="BQ18" i="2"/>
  <c r="CG19" i="3"/>
  <c r="CF21" i="3"/>
  <c r="CG6" i="3"/>
  <c r="CG11" i="3" s="1"/>
  <c r="CC19" i="3"/>
  <c r="CD19" i="3"/>
  <c r="CD21" i="3" s="1"/>
  <c r="CC21" i="3" l="1"/>
  <c r="CG21" i="3"/>
  <c r="BS15" i="6" l="1"/>
  <c r="BR7" i="6"/>
  <c r="BQ7" i="6"/>
  <c r="BP7" i="6"/>
  <c r="CE78" i="4"/>
  <c r="CE32" i="1" s="1"/>
  <c r="CD78" i="4"/>
  <c r="CD32" i="1" s="1"/>
  <c r="CC78" i="4"/>
  <c r="CC32" i="1" s="1"/>
  <c r="CF78" i="4"/>
  <c r="CF32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1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4" i="1" s="1"/>
  <c r="CE13" i="4"/>
  <c r="CE16" i="4" s="1"/>
  <c r="CE24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1" i="1" s="1"/>
  <c r="CG14" i="1" s="1"/>
  <c r="CG16" i="1" s="1"/>
  <c r="CG19" i="1" s="1"/>
  <c r="CG21" i="1" s="1"/>
  <c r="CC14" i="1"/>
  <c r="CC16" i="1" s="1"/>
  <c r="CC19" i="1" s="1"/>
  <c r="CC21" i="1" s="1"/>
  <c r="CC24" i="1"/>
  <c r="CG24" i="1" s="1"/>
  <c r="CC5" i="1"/>
  <c r="CG5" i="1" s="1"/>
  <c r="CG68" i="4"/>
  <c r="CC25" i="4"/>
  <c r="CC39" i="4"/>
  <c r="CG41" i="4"/>
  <c r="CG40" i="4"/>
  <c r="CG38" i="4"/>
  <c r="BS17" i="6" s="1"/>
  <c r="CG24" i="4"/>
  <c r="CF38" i="4"/>
  <c r="BW17" i="6" s="1"/>
  <c r="CF68" i="4"/>
  <c r="CF24" i="4"/>
  <c r="BW24" i="6" s="1"/>
  <c r="BN40" i="2"/>
  <c r="BZ28" i="1"/>
  <c r="BZ46" i="1" s="1"/>
  <c r="BZ18" i="1"/>
  <c r="BZ15" i="1"/>
  <c r="BZ8" i="1"/>
  <c r="BZ9" i="1"/>
  <c r="BN28" i="2"/>
  <c r="BN25" i="2"/>
  <c r="BN24" i="2"/>
  <c r="BN12" i="2"/>
  <c r="BN16" i="2" s="1"/>
  <c r="BN9" i="2"/>
  <c r="BZ13" i="3"/>
  <c r="CA14" i="3"/>
  <c r="BW21" i="6" l="1"/>
  <c r="BW26" i="6"/>
  <c r="BW36" i="6"/>
  <c r="BN30" i="2"/>
  <c r="CF39" i="4"/>
  <c r="BU17" i="6"/>
  <c r="BV17" i="6"/>
  <c r="CF25" i="4"/>
  <c r="BU24" i="6"/>
  <c r="BV24" i="6"/>
  <c r="BS24" i="6"/>
  <c r="BS26" i="6" s="1"/>
  <c r="CG25" i="4"/>
  <c r="BN18" i="2"/>
  <c r="BZ30" i="1" s="1"/>
  <c r="BZ41" i="1" s="1"/>
  <c r="BP38" i="2"/>
  <c r="CG39" i="4"/>
  <c r="BZ15" i="3"/>
  <c r="BZ37" i="1" s="1"/>
  <c r="BZ7" i="3"/>
  <c r="BT10" i="3"/>
  <c r="BT7" i="3"/>
  <c r="BZ6" i="3"/>
  <c r="BN7" i="6"/>
  <c r="BN11" i="6" s="1"/>
  <c r="BN15" i="6" s="1"/>
  <c r="BV36" i="6" l="1"/>
  <c r="BV26" i="6"/>
  <c r="BV21" i="6"/>
  <c r="BU21" i="6"/>
  <c r="BU26" i="6"/>
  <c r="BU28" i="6" s="1"/>
  <c r="BW28" i="6"/>
  <c r="BW32" i="6" s="1"/>
  <c r="BW33" i="6"/>
  <c r="BU36" i="6"/>
  <c r="BZ11" i="3"/>
  <c r="BZ36" i="1" s="1"/>
  <c r="BS28" i="6"/>
  <c r="BS32" i="6" s="1"/>
  <c r="BS33" i="6"/>
  <c r="BS21" i="6"/>
  <c r="BS36" i="6"/>
  <c r="BZ19" i="3"/>
  <c r="BZ71" i="4"/>
  <c r="BZ78" i="4" s="1"/>
  <c r="BZ32" i="1" s="1"/>
  <c r="BZ65" i="4"/>
  <c r="BZ61" i="4"/>
  <c r="BZ35" i="4"/>
  <c r="CA35" i="4" s="1"/>
  <c r="BZ31" i="4"/>
  <c r="BZ22" i="4"/>
  <c r="BR27" i="6" s="1"/>
  <c r="BZ19" i="4"/>
  <c r="BZ26" i="4" s="1"/>
  <c r="BZ13" i="4"/>
  <c r="BZ16" i="4" s="1"/>
  <c r="BY37" i="1"/>
  <c r="BY13" i="3"/>
  <c r="BY19" i="3" s="1"/>
  <c r="BY10" i="3"/>
  <c r="BM28" i="2"/>
  <c r="BM25" i="2"/>
  <c r="BM24" i="2"/>
  <c r="BY28" i="1"/>
  <c r="BV28" i="6" l="1"/>
  <c r="BV32" i="6" s="1"/>
  <c r="BV33" i="6"/>
  <c r="BZ68" i="4"/>
  <c r="BZ21" i="3"/>
  <c r="BU32" i="6"/>
  <c r="BU33" i="6"/>
  <c r="BZ38" i="4"/>
  <c r="CA31" i="4"/>
  <c r="BM30" i="2"/>
  <c r="BQ27" i="6"/>
  <c r="BP27" i="6"/>
  <c r="BZ24" i="4"/>
  <c r="BR24" i="6" s="1"/>
  <c r="BZ24" i="1"/>
  <c r="BZ5" i="1"/>
  <c r="BZ28" i="4"/>
  <c r="BY46" i="1"/>
  <c r="BR36" i="6" l="1"/>
  <c r="BZ7" i="1"/>
  <c r="BZ11" i="1" s="1"/>
  <c r="BZ14" i="1" s="1"/>
  <c r="BZ16" i="1" s="1"/>
  <c r="BZ19" i="1" s="1"/>
  <c r="BN38" i="2" s="1"/>
  <c r="BR17" i="6"/>
  <c r="BR21" i="6" s="1"/>
  <c r="BR26" i="6"/>
  <c r="BZ25" i="4"/>
  <c r="BM16" i="2"/>
  <c r="BZ21" i="1" l="1"/>
  <c r="BR33" i="6"/>
  <c r="BR28" i="6"/>
  <c r="BR32" i="6" s="1"/>
  <c r="BM9" i="2"/>
  <c r="BM18" i="2" s="1"/>
  <c r="BY30" i="1" s="1"/>
  <c r="BY41" i="1" s="1"/>
  <c r="BM27" i="6" l="1"/>
  <c r="BM7" i="6"/>
  <c r="BM11" i="6" s="1"/>
  <c r="BM15" i="6" s="1"/>
  <c r="BY78" i="4" l="1"/>
  <c r="BY32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4" i="1" s="1"/>
  <c r="BL41" i="2"/>
  <c r="BL25" i="2"/>
  <c r="BL24" i="2"/>
  <c r="BL16" i="2"/>
  <c r="BL9" i="2"/>
  <c r="BX43" i="1"/>
  <c r="BX42" i="1"/>
  <c r="BX46" i="1" s="1"/>
  <c r="BX41" i="1"/>
  <c r="BX37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L18" i="2" l="1"/>
  <c r="BY6" i="3"/>
  <c r="BY11" i="3" s="1"/>
  <c r="BY11" i="1"/>
  <c r="BY14" i="1" s="1"/>
  <c r="BY16" i="1" s="1"/>
  <c r="BY19" i="1" s="1"/>
  <c r="BY25" i="4"/>
  <c r="BL38" i="2"/>
  <c r="BL30" i="2"/>
  <c r="BX6" i="3"/>
  <c r="BX11" i="3" s="1"/>
  <c r="BM38" i="2" l="1"/>
  <c r="BY21" i="1"/>
  <c r="BY36" i="1"/>
  <c r="BY21" i="3"/>
  <c r="BX36" i="1"/>
  <c r="BX21" i="3"/>
  <c r="BX26" i="4" l="1"/>
  <c r="BX27" i="4"/>
  <c r="BX24" i="4"/>
  <c r="BX13" i="4"/>
  <c r="BX16" i="4" s="1"/>
  <c r="BX24" i="1" l="1"/>
  <c r="BX5" i="1"/>
  <c r="BX39" i="4"/>
  <c r="BX25" i="4"/>
  <c r="BL7" i="6"/>
  <c r="BL11" i="6" s="1"/>
  <c r="BL15" i="6" s="1"/>
  <c r="BG16" i="2" l="1"/>
  <c r="BF16" i="2"/>
  <c r="BK15" i="2"/>
  <c r="BK16" i="2" s="1"/>
  <c r="BK24" i="2"/>
  <c r="BK9" i="2"/>
  <c r="BW46" i="1"/>
  <c r="CA45" i="1"/>
  <c r="CA44" i="1"/>
  <c r="BW37" i="1"/>
  <c r="CA37" i="1" s="1"/>
  <c r="CA20" i="1"/>
  <c r="CA18" i="1"/>
  <c r="CA17" i="1"/>
  <c r="CA15" i="1"/>
  <c r="CA13" i="1"/>
  <c r="CA12" i="1"/>
  <c r="CA10" i="1"/>
  <c r="CA9" i="1"/>
  <c r="CA8" i="1"/>
  <c r="BW19" i="3"/>
  <c r="CA18" i="3"/>
  <c r="CA17" i="3"/>
  <c r="CA16" i="3"/>
  <c r="CA15" i="3"/>
  <c r="CA13" i="3"/>
  <c r="CA10" i="3"/>
  <c r="BW7" i="3"/>
  <c r="CA7" i="3" s="1"/>
  <c r="BK27" i="6"/>
  <c r="BW78" i="4"/>
  <c r="BW32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5" i="6" s="1"/>
  <c r="BT37" i="1"/>
  <c r="BP17" i="6" l="1"/>
  <c r="CA68" i="4"/>
  <c r="BW5" i="1"/>
  <c r="CA5" i="1" s="1"/>
  <c r="BW7" i="1"/>
  <c r="BW11" i="1" s="1"/>
  <c r="BW14" i="1" s="1"/>
  <c r="BW16" i="1" s="1"/>
  <c r="BW19" i="1" s="1"/>
  <c r="BW21" i="1" s="1"/>
  <c r="BN27" i="6"/>
  <c r="BN28" i="6" s="1"/>
  <c r="BN32" i="6" s="1"/>
  <c r="CA28" i="4"/>
  <c r="CA26" i="4"/>
  <c r="CA40" i="4"/>
  <c r="BK30" i="2"/>
  <c r="BK18" i="2"/>
  <c r="BW30" i="1" s="1"/>
  <c r="BW41" i="1" s="1"/>
  <c r="CA19" i="3"/>
  <c r="CA24" i="4"/>
  <c r="BQ24" i="6" s="1"/>
  <c r="BW39" i="4"/>
  <c r="CA41" i="4"/>
  <c r="BW25" i="4"/>
  <c r="CA13" i="4"/>
  <c r="CA16" i="4" s="1"/>
  <c r="CA7" i="1" l="1"/>
  <c r="CA11" i="1" s="1"/>
  <c r="CA14" i="1" s="1"/>
  <c r="CA16" i="1" s="1"/>
  <c r="CA19" i="1" s="1"/>
  <c r="CA21" i="1" s="1"/>
  <c r="BQ26" i="6"/>
  <c r="BQ36" i="6"/>
  <c r="BQ21" i="6"/>
  <c r="BK38" i="2"/>
  <c r="BP24" i="6"/>
  <c r="BP26" i="6" s="1"/>
  <c r="BN24" i="6"/>
  <c r="BN17" i="6"/>
  <c r="BW6" i="3"/>
  <c r="CA6" i="3" s="1"/>
  <c r="CA11" i="3" s="1"/>
  <c r="CA21" i="3" s="1"/>
  <c r="CA39" i="4"/>
  <c r="CA25" i="4"/>
  <c r="BI29" i="2"/>
  <c r="BH28" i="2"/>
  <c r="BQ28" i="6" l="1"/>
  <c r="BQ32" i="6" s="1"/>
  <c r="BQ33" i="6"/>
  <c r="BW11" i="3"/>
  <c r="BW21" i="3" s="1"/>
  <c r="BN21" i="6"/>
  <c r="BP28" i="6"/>
  <c r="BP32" i="6" s="1"/>
  <c r="BP33" i="6"/>
  <c r="BW36" i="1"/>
  <c r="CA36" i="1" s="1"/>
  <c r="BI24" i="2"/>
  <c r="BI30" i="2" s="1"/>
  <c r="BI15" i="2"/>
  <c r="BI16" i="2" s="1"/>
  <c r="BI9" i="2"/>
  <c r="BI18" i="2" l="1"/>
  <c r="BT19" i="3"/>
  <c r="BT11" i="3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T21" i="3" l="1"/>
  <c r="BT39" i="4"/>
  <c r="BM17" i="6"/>
  <c r="BT7" i="1"/>
  <c r="BT11" i="1" s="1"/>
  <c r="BT14" i="1" s="1"/>
  <c r="BT16" i="1" s="1"/>
  <c r="BT19" i="1" s="1"/>
  <c r="BT16" i="4"/>
  <c r="BT25" i="4" s="1"/>
  <c r="BM24" i="6"/>
  <c r="BS19" i="3"/>
  <c r="BS41" i="1"/>
  <c r="BM21" i="6" l="1"/>
  <c r="BM26" i="6"/>
  <c r="BT21" i="1"/>
  <c r="BI38" i="2"/>
  <c r="BS11" i="1"/>
  <c r="BS14" i="1" s="1"/>
  <c r="BS16" i="1" s="1"/>
  <c r="BS19" i="1" s="1"/>
  <c r="BS21" i="1" s="1"/>
  <c r="BH25" i="2"/>
  <c r="BH24" i="2"/>
  <c r="BH16" i="2"/>
  <c r="BH9" i="2"/>
  <c r="BH38" i="2" l="1"/>
  <c r="BM28" i="6"/>
  <c r="BM32" i="6" s="1"/>
  <c r="BM33" i="6"/>
  <c r="BH18" i="2"/>
  <c r="BH30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39" i="4" s="1"/>
  <c r="BS26" i="4"/>
  <c r="BS27" i="4"/>
  <c r="BS24" i="4"/>
  <c r="BS13" i="4"/>
  <c r="BS16" i="4" s="1"/>
  <c r="BG41" i="2"/>
  <c r="BF41" i="2"/>
  <c r="BS25" i="4" l="1"/>
  <c r="BL24" i="6"/>
  <c r="BL26" i="6" s="1"/>
  <c r="BL17" i="6"/>
  <c r="BS11" i="3"/>
  <c r="BS21" i="3" s="1"/>
  <c r="BR41" i="1"/>
  <c r="BR37" i="1"/>
  <c r="BQ37" i="1"/>
  <c r="BL21" i="6" l="1"/>
  <c r="BL28" i="6"/>
  <c r="BL32" i="6" s="1"/>
  <c r="BL33" i="6"/>
  <c r="BR19" i="3"/>
  <c r="BR11" i="1" l="1"/>
  <c r="BR14" i="1" s="1"/>
  <c r="BR16" i="1" s="1"/>
  <c r="BR19" i="1" s="1"/>
  <c r="BR6" i="3"/>
  <c r="BR7" i="3"/>
  <c r="BG24" i="2"/>
  <c r="BG30" i="2" s="1"/>
  <c r="BG9" i="2"/>
  <c r="BG27" i="6"/>
  <c r="BG38" i="2" l="1"/>
  <c r="BR21" i="1"/>
  <c r="BR11" i="3"/>
  <c r="BR36" i="1" s="1"/>
  <c r="BG18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2" i="1" l="1"/>
  <c r="BX79" i="4"/>
  <c r="BK17" i="6"/>
  <c r="BK24" i="6" s="1"/>
  <c r="BK26" i="6" s="1"/>
  <c r="BR21" i="3"/>
  <c r="BR24" i="4"/>
  <c r="BR13" i="4"/>
  <c r="BR16" i="4" s="1"/>
  <c r="BR24" i="1" l="1"/>
  <c r="BR25" i="4"/>
  <c r="BK28" i="6"/>
  <c r="BK32" i="6" s="1"/>
  <c r="BK33" i="6"/>
  <c r="BR39" i="4"/>
  <c r="BF27" i="6"/>
  <c r="BQ10" i="3"/>
  <c r="BQ7" i="3"/>
  <c r="BQ46" i="1"/>
  <c r="BQ80" i="4"/>
  <c r="BU45" i="1" l="1"/>
  <c r="BU44" i="1"/>
  <c r="BU20" i="1"/>
  <c r="BU18" i="1"/>
  <c r="BU17" i="1"/>
  <c r="BU15" i="1"/>
  <c r="BU13" i="1"/>
  <c r="BU12" i="1"/>
  <c r="BU10" i="1"/>
  <c r="BU9" i="1"/>
  <c r="BU8" i="1"/>
  <c r="BF24" i="2"/>
  <c r="BF30" i="2" s="1"/>
  <c r="BF9" i="2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4" i="2"/>
  <c r="BD30" i="2" s="1"/>
  <c r="BD12" i="2"/>
  <c r="BD16" i="2" s="1"/>
  <c r="BD9" i="2"/>
  <c r="BN11" i="1"/>
  <c r="BN14" i="1" s="1"/>
  <c r="BN16" i="1" s="1"/>
  <c r="BN19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8" i="2" l="1"/>
  <c r="BN21" i="3"/>
  <c r="BD38" i="2"/>
  <c r="BN21" i="1"/>
  <c r="BQ16" i="4"/>
  <c r="BQ24" i="1" s="1"/>
  <c r="BU24" i="1" s="1"/>
  <c r="BQ5" i="1"/>
  <c r="BU5" i="1" s="1"/>
  <c r="BH17" i="6"/>
  <c r="BI17" i="6"/>
  <c r="BQ7" i="1"/>
  <c r="BW79" i="4"/>
  <c r="BQ32" i="1"/>
  <c r="BN39" i="4"/>
  <c r="BN5" i="1"/>
  <c r="BH24" i="6"/>
  <c r="BI24" i="6"/>
  <c r="BU26" i="4"/>
  <c r="BU19" i="3"/>
  <c r="BU37" i="1"/>
  <c r="BU40" i="4"/>
  <c r="BF18" i="2"/>
  <c r="BQ30" i="1" s="1"/>
  <c r="BQ41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40" i="2"/>
  <c r="AX25" i="2"/>
  <c r="AT25" i="2"/>
  <c r="AS25" i="2"/>
  <c r="AL41" i="2"/>
  <c r="BF38" i="2" l="1"/>
  <c r="BQ21" i="1"/>
  <c r="BH28" i="6"/>
  <c r="BH32" i="6" s="1"/>
  <c r="BH33" i="6"/>
  <c r="BQ11" i="3"/>
  <c r="BU6" i="3"/>
  <c r="BU11" i="3" s="1"/>
  <c r="BU21" i="3" s="1"/>
  <c r="BI28" i="6"/>
  <c r="BI32" i="6" s="1"/>
  <c r="BI33" i="6"/>
  <c r="AB40" i="2"/>
  <c r="AB25" i="2"/>
  <c r="X28" i="2"/>
  <c r="X25" i="2"/>
  <c r="U28" i="2"/>
  <c r="U25" i="2"/>
  <c r="T25" i="2"/>
  <c r="P28" i="2"/>
  <c r="BO24" i="1"/>
  <c r="BH28" i="1"/>
  <c r="BG28" i="1"/>
  <c r="BF28" i="1"/>
  <c r="BE28" i="1"/>
  <c r="BI24" i="1"/>
  <c r="BA28" i="1"/>
  <c r="AW24" i="1"/>
  <c r="AP31" i="1"/>
  <c r="AQ24" i="1"/>
  <c r="AK24" i="1"/>
  <c r="AH37" i="1"/>
  <c r="AE24" i="1"/>
  <c r="BH9" i="1"/>
  <c r="F15" i="4"/>
  <c r="E15" i="4"/>
  <c r="D15" i="4"/>
  <c r="C15" i="4"/>
  <c r="C13" i="3"/>
  <c r="D25" i="2"/>
  <c r="C25" i="2"/>
  <c r="C21" i="2"/>
  <c r="BQ36" i="1" l="1"/>
  <c r="BU36" i="1" s="1"/>
  <c r="BQ21" i="3"/>
  <c r="BM19" i="3"/>
  <c r="BM11" i="3"/>
  <c r="BC24" i="2"/>
  <c r="BC30" i="2" s="1"/>
  <c r="BC16" i="2"/>
  <c r="BC9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7" i="1"/>
  <c r="BL42" i="1"/>
  <c r="BB24" i="2"/>
  <c r="BB30" i="2" s="1"/>
  <c r="BB16" i="2"/>
  <c r="BB9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7" i="1"/>
  <c r="BO45" i="1"/>
  <c r="BO44" i="1"/>
  <c r="BK42" i="1"/>
  <c r="BO20" i="1"/>
  <c r="BO18" i="1"/>
  <c r="BO17" i="1"/>
  <c r="BO15" i="1"/>
  <c r="BO13" i="1"/>
  <c r="BO12" i="1"/>
  <c r="BO10" i="1"/>
  <c r="BO9" i="1"/>
  <c r="BO8" i="1"/>
  <c r="BA24" i="2"/>
  <c r="BA30" i="2" s="1"/>
  <c r="BA16" i="2"/>
  <c r="BA9" i="2"/>
  <c r="BK19" i="3"/>
  <c r="BO18" i="3"/>
  <c r="BO17" i="3"/>
  <c r="BO16" i="3"/>
  <c r="BO15" i="3"/>
  <c r="BO13" i="3"/>
  <c r="BK11" i="3"/>
  <c r="BO10" i="3"/>
  <c r="BO7" i="3"/>
  <c r="BK78" i="4"/>
  <c r="BK32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M21" i="3"/>
  <c r="BM11" i="1"/>
  <c r="BM14" i="1" s="1"/>
  <c r="BM16" i="1" s="1"/>
  <c r="BM19" i="1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8" i="2"/>
  <c r="BC18" i="2"/>
  <c r="BC38" i="2"/>
  <c r="BM21" i="1"/>
  <c r="BL11" i="1"/>
  <c r="BL14" i="1" s="1"/>
  <c r="BL16" i="1" s="1"/>
  <c r="BL19" i="1" s="1"/>
  <c r="BB38" i="2" s="1"/>
  <c r="BM16" i="4"/>
  <c r="BO16" i="4" s="1"/>
  <c r="BM39" i="4"/>
  <c r="BB15" i="6"/>
  <c r="BC15" i="6"/>
  <c r="BO37" i="1"/>
  <c r="BL21" i="1"/>
  <c r="BA18" i="2"/>
  <c r="BK30" i="1" s="1"/>
  <c r="BK21" i="3"/>
  <c r="BO36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4" i="2"/>
  <c r="AY30" i="2" s="1"/>
  <c r="BH30" i="1" s="1"/>
  <c r="AY16" i="2"/>
  <c r="AY9" i="2"/>
  <c r="BH19" i="3"/>
  <c r="BH11" i="3"/>
  <c r="BH78" i="4"/>
  <c r="BH32" i="1" s="1"/>
  <c r="BH68" i="4"/>
  <c r="BH42" i="4"/>
  <c r="BH41" i="4"/>
  <c r="BH40" i="4"/>
  <c r="BH38" i="4"/>
  <c r="BH11" i="1" s="1"/>
  <c r="BH14" i="1" s="1"/>
  <c r="BH16" i="1" s="1"/>
  <c r="BH19" i="1" s="1"/>
  <c r="BH13" i="4"/>
  <c r="AX24" i="2"/>
  <c r="AX30" i="2" s="1"/>
  <c r="BG30" i="1" s="1"/>
  <c r="AX16" i="2"/>
  <c r="AX9" i="2"/>
  <c r="BG19" i="3"/>
  <c r="BG11" i="3"/>
  <c r="BG78" i="4"/>
  <c r="BG32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4" i="2"/>
  <c r="AW30" i="2" s="1"/>
  <c r="BF30" i="1" s="1"/>
  <c r="AW16" i="2"/>
  <c r="AW9" i="2"/>
  <c r="BF47" i="1"/>
  <c r="BF19" i="3"/>
  <c r="BF11" i="3"/>
  <c r="BF78" i="4"/>
  <c r="BF32" i="1" s="1"/>
  <c r="BF68" i="4"/>
  <c r="BF42" i="4"/>
  <c r="BF41" i="4"/>
  <c r="BF40" i="4"/>
  <c r="BF38" i="4"/>
  <c r="BF13" i="4"/>
  <c r="BF16" i="4" s="1"/>
  <c r="BF25" i="4" s="1"/>
  <c r="BE47" i="1"/>
  <c r="BI45" i="1"/>
  <c r="BI44" i="1"/>
  <c r="BH42" i="1"/>
  <c r="BG42" i="1"/>
  <c r="BF42" i="1"/>
  <c r="BE42" i="1"/>
  <c r="BI20" i="1"/>
  <c r="BI18" i="1"/>
  <c r="BI17" i="1"/>
  <c r="BI15" i="1"/>
  <c r="BI13" i="1"/>
  <c r="BI12" i="1"/>
  <c r="BI10" i="1"/>
  <c r="BI8" i="1"/>
  <c r="AV24" i="2"/>
  <c r="AV30" i="2" s="1"/>
  <c r="BE30" i="1" s="1"/>
  <c r="AV16" i="2"/>
  <c r="AV9" i="2"/>
  <c r="BE19" i="3"/>
  <c r="BI18" i="3"/>
  <c r="BI17" i="3"/>
  <c r="BI16" i="3"/>
  <c r="BI15" i="3"/>
  <c r="BI13" i="3"/>
  <c r="BE11" i="3"/>
  <c r="BI10" i="3"/>
  <c r="BI7" i="3"/>
  <c r="BE78" i="4"/>
  <c r="BE32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4" i="2"/>
  <c r="AT16" i="2"/>
  <c r="AT9" i="2"/>
  <c r="BB78" i="4"/>
  <c r="BB13" i="4"/>
  <c r="BB16" i="4" s="1"/>
  <c r="BB40" i="4"/>
  <c r="BB42" i="4"/>
  <c r="BB47" i="1"/>
  <c r="BB42" i="1"/>
  <c r="BC15" i="1"/>
  <c r="BB19" i="3"/>
  <c r="BB11" i="3"/>
  <c r="BC6" i="3"/>
  <c r="BA80" i="4"/>
  <c r="BA47" i="1"/>
  <c r="BA42" i="1"/>
  <c r="AS24" i="2"/>
  <c r="AS16" i="2"/>
  <c r="AS9" i="2"/>
  <c r="BA19" i="3"/>
  <c r="BA11" i="3"/>
  <c r="BA78" i="4"/>
  <c r="BA32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7" i="1"/>
  <c r="AZ42" i="1"/>
  <c r="AR24" i="2"/>
  <c r="AR30" i="2" s="1"/>
  <c r="AR16" i="2"/>
  <c r="AR9" i="2"/>
  <c r="AZ19" i="3"/>
  <c r="AZ11" i="3"/>
  <c r="AZ80" i="4"/>
  <c r="AZ78" i="4"/>
  <c r="AZ32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7" i="1"/>
  <c r="BC45" i="1"/>
  <c r="BC44" i="1"/>
  <c r="AY42" i="1"/>
  <c r="BC20" i="1"/>
  <c r="BC18" i="1"/>
  <c r="BC17" i="1"/>
  <c r="BC13" i="1"/>
  <c r="BC12" i="1"/>
  <c r="BC10" i="1"/>
  <c r="BC8" i="1"/>
  <c r="AQ24" i="2"/>
  <c r="AQ30" i="2" s="1"/>
  <c r="AQ16" i="2"/>
  <c r="AQ9" i="2"/>
  <c r="AY19" i="3"/>
  <c r="BC18" i="3"/>
  <c r="BC17" i="3"/>
  <c r="BC16" i="3"/>
  <c r="BC15" i="3"/>
  <c r="BC13" i="3"/>
  <c r="AY11" i="3"/>
  <c r="BC10" i="3"/>
  <c r="BC7" i="3"/>
  <c r="AY80" i="4"/>
  <c r="AY78" i="4"/>
  <c r="AY32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4" i="2"/>
  <c r="AO30" i="2" s="1"/>
  <c r="AW37" i="4"/>
  <c r="AW31" i="4"/>
  <c r="AN24" i="2"/>
  <c r="AN30" i="2" s="1"/>
  <c r="AU80" i="4"/>
  <c r="AU40" i="4"/>
  <c r="AU41" i="4"/>
  <c r="AU42" i="4"/>
  <c r="AM24" i="2"/>
  <c r="AM30" i="2" s="1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2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7" i="6" s="1"/>
  <c r="AW34" i="4"/>
  <c r="AW33" i="4"/>
  <c r="AW32" i="4"/>
  <c r="AW15" i="4"/>
  <c r="AW26" i="4" s="1"/>
  <c r="AV13" i="4"/>
  <c r="AU13" i="4"/>
  <c r="AT13" i="4"/>
  <c r="AS13" i="4"/>
  <c r="AS16" i="4" s="1"/>
  <c r="AW12" i="4"/>
  <c r="AW11" i="4"/>
  <c r="AW10" i="4"/>
  <c r="AW28" i="4" s="1"/>
  <c r="AW9" i="4"/>
  <c r="AW8" i="4"/>
  <c r="AW7" i="4"/>
  <c r="AW6" i="4"/>
  <c r="AV19" i="3"/>
  <c r="AU19" i="3"/>
  <c r="AT19" i="3"/>
  <c r="AS19" i="3"/>
  <c r="AW18" i="3"/>
  <c r="AW17" i="3"/>
  <c r="AW16" i="3"/>
  <c r="AW15" i="3"/>
  <c r="AW13" i="3"/>
  <c r="AW10" i="3"/>
  <c r="AW7" i="3"/>
  <c r="AL24" i="2"/>
  <c r="AL30" i="2" s="1"/>
  <c r="AO16" i="2"/>
  <c r="AN16" i="2"/>
  <c r="AM16" i="2"/>
  <c r="AL16" i="2"/>
  <c r="AO9" i="2"/>
  <c r="AN9" i="2"/>
  <c r="AM9" i="2"/>
  <c r="AL9" i="2"/>
  <c r="AS47" i="1"/>
  <c r="AW45" i="1"/>
  <c r="AW44" i="1"/>
  <c r="AS42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2" i="1"/>
  <c r="AP47" i="1"/>
  <c r="AP42" i="4"/>
  <c r="AP40" i="4"/>
  <c r="AP41" i="4"/>
  <c r="AP7" i="3"/>
  <c r="AO42" i="1"/>
  <c r="AN42" i="1"/>
  <c r="AM42" i="1"/>
  <c r="AO7" i="3"/>
  <c r="AN7" i="3"/>
  <c r="AM7" i="3"/>
  <c r="AM47" i="1"/>
  <c r="AN47" i="1"/>
  <c r="AO47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2" i="1" s="1"/>
  <c r="AO78" i="4"/>
  <c r="AO32" i="1" s="1"/>
  <c r="AN78" i="4"/>
  <c r="AN32" i="1" s="1"/>
  <c r="AM78" i="4"/>
  <c r="AM32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O39" i="4" s="1"/>
  <c r="AN38" i="4"/>
  <c r="AM38" i="4"/>
  <c r="AQ37" i="4"/>
  <c r="AQ36" i="4"/>
  <c r="AQ35" i="4"/>
  <c r="AQ34" i="4"/>
  <c r="AQ33" i="4"/>
  <c r="AQ32" i="4"/>
  <c r="AQ31" i="4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P19" i="3"/>
  <c r="AO19" i="3"/>
  <c r="AN19" i="3"/>
  <c r="AM19" i="3"/>
  <c r="AQ18" i="3"/>
  <c r="AQ17" i="3"/>
  <c r="AQ16" i="3"/>
  <c r="AQ15" i="3"/>
  <c r="AQ13" i="3"/>
  <c r="AQ10" i="3"/>
  <c r="AJ24" i="2"/>
  <c r="AJ30" i="2" s="1"/>
  <c r="AI24" i="2"/>
  <c r="AI30" i="2" s="1"/>
  <c r="AH24" i="2"/>
  <c r="AG24" i="2"/>
  <c r="AG30" i="2" s="1"/>
  <c r="AJ16" i="2"/>
  <c r="AI16" i="2"/>
  <c r="AH16" i="2"/>
  <c r="AG16" i="2"/>
  <c r="AJ9" i="2"/>
  <c r="AI9" i="2"/>
  <c r="AG9" i="2"/>
  <c r="AQ45" i="1"/>
  <c r="AQ44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10" i="3"/>
  <c r="AI80" i="4"/>
  <c r="AI42" i="4"/>
  <c r="AI41" i="4"/>
  <c r="AI40" i="4"/>
  <c r="AK37" i="1"/>
  <c r="AH80" i="4"/>
  <c r="AG80" i="4"/>
  <c r="AH46" i="1"/>
  <c r="AH42" i="4"/>
  <c r="AH41" i="4"/>
  <c r="AH40" i="4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G11" i="3"/>
  <c r="AG21" i="3" s="1"/>
  <c r="AK7" i="3"/>
  <c r="AK6" i="3"/>
  <c r="AE24" i="2"/>
  <c r="AE30" i="2" s="1"/>
  <c r="AD24" i="2"/>
  <c r="AD30" i="2" s="1"/>
  <c r="AC24" i="2"/>
  <c r="AC30" i="2" s="1"/>
  <c r="AB24" i="2"/>
  <c r="AB30" i="2" s="1"/>
  <c r="AE16" i="2"/>
  <c r="AE18" i="2" s="1"/>
  <c r="AD16" i="2"/>
  <c r="AD18" i="2" s="1"/>
  <c r="AC16" i="2"/>
  <c r="AB16" i="2"/>
  <c r="AE9" i="2"/>
  <c r="AD9" i="2"/>
  <c r="AC9" i="2"/>
  <c r="AB9" i="2"/>
  <c r="AK45" i="1"/>
  <c r="AK44" i="1"/>
  <c r="AE44" i="1"/>
  <c r="AE7" i="6"/>
  <c r="AD7" i="6"/>
  <c r="AC7" i="6"/>
  <c r="AB7" i="6"/>
  <c r="AJ78" i="4"/>
  <c r="AI78" i="4"/>
  <c r="AH78" i="4"/>
  <c r="AG78" i="4"/>
  <c r="AJ68" i="4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6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5" i="1"/>
  <c r="AD42" i="1"/>
  <c r="AE6" i="3"/>
  <c r="AE37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D16" i="4" s="1"/>
  <c r="D24" i="1" s="1"/>
  <c r="E13" i="4"/>
  <c r="E16" i="4" s="1"/>
  <c r="E24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4" i="1" s="1"/>
  <c r="W13" i="4"/>
  <c r="AA13" i="4"/>
  <c r="AA16" i="4" s="1"/>
  <c r="AB13" i="4"/>
  <c r="AB16" i="4" s="1"/>
  <c r="AC13" i="4"/>
  <c r="AC16" i="4" s="1"/>
  <c r="D41" i="4"/>
  <c r="F41" i="4"/>
  <c r="I41" i="4"/>
  <c r="J16" i="4"/>
  <c r="L41" i="4"/>
  <c r="Q41" i="4"/>
  <c r="R41" i="4"/>
  <c r="Y15" i="4"/>
  <c r="AE15" i="4"/>
  <c r="G31" i="4"/>
  <c r="G40" i="4" s="1"/>
  <c r="M31" i="4"/>
  <c r="M40" i="4" s="1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I39" i="4" s="1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R80" i="4" s="1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AA19" i="3"/>
  <c r="AA21" i="3" s="1"/>
  <c r="AB19" i="3"/>
  <c r="AC19" i="3"/>
  <c r="AD19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6" i="2"/>
  <c r="D16" i="2"/>
  <c r="E16" i="2"/>
  <c r="F16" i="2"/>
  <c r="H16" i="2"/>
  <c r="I16" i="2"/>
  <c r="J16" i="2"/>
  <c r="K16" i="2"/>
  <c r="M16" i="2"/>
  <c r="N16" i="2"/>
  <c r="O16" i="2"/>
  <c r="P16" i="2"/>
  <c r="R16" i="2"/>
  <c r="S16" i="2"/>
  <c r="T16" i="2"/>
  <c r="U16" i="2"/>
  <c r="W16" i="2"/>
  <c r="X16" i="2"/>
  <c r="Y16" i="2"/>
  <c r="Z16" i="2"/>
  <c r="C24" i="2"/>
  <c r="C30" i="2" s="1"/>
  <c r="D24" i="2"/>
  <c r="D30" i="2" s="1"/>
  <c r="E24" i="2"/>
  <c r="E30" i="2" s="1"/>
  <c r="F24" i="2"/>
  <c r="F30" i="2" s="1"/>
  <c r="H24" i="2"/>
  <c r="H30" i="2" s="1"/>
  <c r="I24" i="2"/>
  <c r="I30" i="2" s="1"/>
  <c r="J24" i="2"/>
  <c r="J30" i="2" s="1"/>
  <c r="K24" i="2"/>
  <c r="K30" i="2" s="1"/>
  <c r="M24" i="2"/>
  <c r="M30" i="2" s="1"/>
  <c r="N24" i="2"/>
  <c r="N30" i="2" s="1"/>
  <c r="O24" i="2"/>
  <c r="O30" i="2" s="1"/>
  <c r="P24" i="2"/>
  <c r="R24" i="2"/>
  <c r="R30" i="2" s="1"/>
  <c r="S24" i="2"/>
  <c r="S30" i="2" s="1"/>
  <c r="T24" i="2"/>
  <c r="U24" i="2"/>
  <c r="U30" i="2" s="1"/>
  <c r="W24" i="2"/>
  <c r="W30" i="2" s="1"/>
  <c r="X24" i="2"/>
  <c r="Y24" i="2"/>
  <c r="Y30" i="2" s="1"/>
  <c r="Z24" i="2"/>
  <c r="Z30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E14" i="1" s="1"/>
  <c r="E16" i="1" s="1"/>
  <c r="E19" i="1" s="1"/>
  <c r="E21" i="1" s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6" i="1"/>
  <c r="M36" i="1"/>
  <c r="S36" i="1"/>
  <c r="Y36" i="1"/>
  <c r="G37" i="1"/>
  <c r="M37" i="1"/>
  <c r="S37" i="1"/>
  <c r="Y37" i="1"/>
  <c r="G44" i="1"/>
  <c r="M44" i="1"/>
  <c r="S44" i="1"/>
  <c r="Y44" i="1"/>
  <c r="G45" i="1"/>
  <c r="M45" i="1"/>
  <c r="S45" i="1"/>
  <c r="Y45" i="1"/>
  <c r="AE45" i="1"/>
  <c r="AD41" i="4"/>
  <c r="E24" i="6"/>
  <c r="AD11" i="3"/>
  <c r="AE36" i="1"/>
  <c r="AD42" i="4"/>
  <c r="AE7" i="4"/>
  <c r="AE6" i="4"/>
  <c r="AE40" i="4" s="1"/>
  <c r="AD13" i="4"/>
  <c r="AD40" i="4"/>
  <c r="AE10" i="4"/>
  <c r="AH30" i="2"/>
  <c r="AO16" i="4"/>
  <c r="AO25" i="4" s="1"/>
  <c r="P41" i="4"/>
  <c r="E41" i="4"/>
  <c r="W16" i="4"/>
  <c r="W24" i="1" s="1"/>
  <c r="K41" i="4"/>
  <c r="AW6" i="3"/>
  <c r="BC31" i="4"/>
  <c r="BC41" i="4" s="1"/>
  <c r="AY38" i="4"/>
  <c r="AY40" i="4"/>
  <c r="BB38" i="4"/>
  <c r="AX24" i="6" s="1"/>
  <c r="BB41" i="4"/>
  <c r="BC9" i="1"/>
  <c r="AU16" i="4"/>
  <c r="BE39" i="4"/>
  <c r="BE16" i="4"/>
  <c r="J41" i="4"/>
  <c r="AO11" i="1"/>
  <c r="AO14" i="1" s="1"/>
  <c r="AO16" i="1" s="1"/>
  <c r="AO19" i="1" s="1"/>
  <c r="AI38" i="2" s="1"/>
  <c r="AT16" i="4"/>
  <c r="AT25" i="4" s="1"/>
  <c r="AV16" i="4"/>
  <c r="AV25" i="4" s="1"/>
  <c r="AU11" i="1"/>
  <c r="AU14" i="1" s="1"/>
  <c r="AU16" i="1" s="1"/>
  <c r="AU19" i="1" s="1"/>
  <c r="C19" i="3"/>
  <c r="Y6" i="4"/>
  <c r="Y40" i="4" s="1"/>
  <c r="X40" i="4"/>
  <c r="AS40" i="4"/>
  <c r="BF11" i="1"/>
  <c r="BF14" i="1" s="1"/>
  <c r="BF16" i="1" s="1"/>
  <c r="BF19" i="1" s="1"/>
  <c r="X42" i="4"/>
  <c r="BI40" i="4"/>
  <c r="Y18" i="2" l="1"/>
  <c r="O18" i="2"/>
  <c r="H11" i="6"/>
  <c r="AO79" i="4"/>
  <c r="AO18" i="2"/>
  <c r="E18" i="2"/>
  <c r="AK42" i="4"/>
  <c r="AC18" i="2"/>
  <c r="AQ40" i="4"/>
  <c r="AN39" i="4"/>
  <c r="R18" i="2"/>
  <c r="H18" i="2"/>
  <c r="Y38" i="4"/>
  <c r="U24" i="6" s="1"/>
  <c r="AK40" i="4"/>
  <c r="Z18" i="2"/>
  <c r="P18" i="2"/>
  <c r="F18" i="2"/>
  <c r="AB21" i="3"/>
  <c r="AQ38" i="4"/>
  <c r="AJ24" i="6" s="1"/>
  <c r="V21" i="3"/>
  <c r="S18" i="2"/>
  <c r="I18" i="2"/>
  <c r="BM79" i="4"/>
  <c r="BC68" i="4"/>
  <c r="S42" i="4"/>
  <c r="AA39" i="4"/>
  <c r="C39" i="4"/>
  <c r="X18" i="2"/>
  <c r="N18" i="2"/>
  <c r="D18" i="2"/>
  <c r="AG39" i="4"/>
  <c r="Q39" i="4"/>
  <c r="W18" i="2"/>
  <c r="M18" i="2"/>
  <c r="C18" i="2"/>
  <c r="AS79" i="4"/>
  <c r="K18" i="2"/>
  <c r="AK11" i="1"/>
  <c r="AK14" i="1" s="1"/>
  <c r="AK16" i="1" s="1"/>
  <c r="AK19" i="1" s="1"/>
  <c r="AK21" i="1" s="1"/>
  <c r="AK19" i="3"/>
  <c r="AI18" i="2"/>
  <c r="AT79" i="4"/>
  <c r="BA79" i="4"/>
  <c r="BH79" i="4"/>
  <c r="U18" i="2"/>
  <c r="AC39" i="4"/>
  <c r="T18" i="2"/>
  <c r="J18" i="2"/>
  <c r="AJ18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6" i="1"/>
  <c r="AD11" i="6"/>
  <c r="AG11" i="6"/>
  <c r="AG15" i="6" s="1"/>
  <c r="AM46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6" i="1"/>
  <c r="AE11" i="6"/>
  <c r="AE15" i="6" s="1"/>
  <c r="AH11" i="6"/>
  <c r="AH15" i="6" s="1"/>
  <c r="AN46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6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6" i="1"/>
  <c r="AV79" i="4"/>
  <c r="AR11" i="6"/>
  <c r="AR15" i="6" s="1"/>
  <c r="AV11" i="6"/>
  <c r="AV15" i="6" s="1"/>
  <c r="BF36" i="6"/>
  <c r="BF26" i="6"/>
  <c r="AG18" i="2"/>
  <c r="AH18" i="2"/>
  <c r="AZ39" i="4"/>
  <c r="AZ16" i="4"/>
  <c r="AJ39" i="4"/>
  <c r="AD16" i="4"/>
  <c r="AE16" i="4" s="1"/>
  <c r="V39" i="4"/>
  <c r="H17" i="6"/>
  <c r="H24" i="6" s="1"/>
  <c r="H26" i="6" s="1"/>
  <c r="BF21" i="3"/>
  <c r="BG21" i="3"/>
  <c r="BB21" i="3"/>
  <c r="AZ21" i="3"/>
  <c r="AW11" i="3"/>
  <c r="J21" i="3"/>
  <c r="M11" i="3"/>
  <c r="AU21" i="3"/>
  <c r="AQ18" i="2"/>
  <c r="AR18" i="2"/>
  <c r="T30" i="2"/>
  <c r="AB18" i="2"/>
  <c r="AL18" i="2"/>
  <c r="AN18" i="2"/>
  <c r="AS18" i="2"/>
  <c r="AT18" i="2"/>
  <c r="AM18" i="2"/>
  <c r="AX18" i="2"/>
  <c r="Y11" i="1"/>
  <c r="Y14" i="1" s="1"/>
  <c r="Y16" i="1" s="1"/>
  <c r="Y19" i="1" s="1"/>
  <c r="Y21" i="1" s="1"/>
  <c r="S11" i="1"/>
  <c r="S14" i="1" s="1"/>
  <c r="S16" i="1" s="1"/>
  <c r="S19" i="1" s="1"/>
  <c r="S21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1" i="1"/>
  <c r="G14" i="1" s="1"/>
  <c r="G16" i="1" s="1"/>
  <c r="G19" i="1" s="1"/>
  <c r="G21" i="1" s="1"/>
  <c r="O79" i="4"/>
  <c r="AC24" i="6"/>
  <c r="Y24" i="6"/>
  <c r="Y36" i="6" s="1"/>
  <c r="R24" i="6"/>
  <c r="D24" i="6"/>
  <c r="D26" i="6" s="1"/>
  <c r="D28" i="6" s="1"/>
  <c r="U16" i="4"/>
  <c r="U24" i="1" s="1"/>
  <c r="S15" i="4"/>
  <c r="S41" i="4" s="1"/>
  <c r="C16" i="4"/>
  <c r="C24" i="1" s="1"/>
  <c r="L39" i="4"/>
  <c r="X13" i="4"/>
  <c r="X16" i="4" s="1"/>
  <c r="AG24" i="6"/>
  <c r="AW42" i="4"/>
  <c r="AW41" i="4"/>
  <c r="BI38" i="4"/>
  <c r="BI39" i="4" s="1"/>
  <c r="Q79" i="4"/>
  <c r="I79" i="4"/>
  <c r="AE42" i="4"/>
  <c r="W39" i="4"/>
  <c r="K39" i="4"/>
  <c r="AQ13" i="4"/>
  <c r="AQ68" i="4"/>
  <c r="AP79" i="4" s="1"/>
  <c r="BI68" i="4"/>
  <c r="BO39" i="4"/>
  <c r="G11" i="3"/>
  <c r="AE11" i="3"/>
  <c r="AS21" i="3"/>
  <c r="AD21" i="3"/>
  <c r="L21" i="3"/>
  <c r="C21" i="3"/>
  <c r="AE19" i="3"/>
  <c r="Y11" i="3"/>
  <c r="AK11" i="3"/>
  <c r="AK21" i="3" s="1"/>
  <c r="BE21" i="3"/>
  <c r="S19" i="3"/>
  <c r="O21" i="3"/>
  <c r="AV21" i="3"/>
  <c r="AT21" i="3"/>
  <c r="M19" i="3"/>
  <c r="Y19" i="3"/>
  <c r="D21" i="3"/>
  <c r="AW36" i="1"/>
  <c r="U21" i="3"/>
  <c r="BA21" i="3"/>
  <c r="Q21" i="3"/>
  <c r="E21" i="3"/>
  <c r="BC11" i="3"/>
  <c r="G19" i="3"/>
  <c r="AQ19" i="3"/>
  <c r="F21" i="3"/>
  <c r="AY21" i="3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4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BC19" i="3"/>
  <c r="P21" i="3"/>
  <c r="AJ21" i="3"/>
  <c r="I21" i="3"/>
  <c r="R21" i="3"/>
  <c r="BC36" i="1"/>
  <c r="AC21" i="3"/>
  <c r="K21" i="3"/>
  <c r="S11" i="3"/>
  <c r="AQ7" i="3"/>
  <c r="AW19" i="3"/>
  <c r="AW21" i="3" s="1"/>
  <c r="BO21" i="3"/>
  <c r="AW18" i="2"/>
  <c r="AY18" i="2"/>
  <c r="AT30" i="2"/>
  <c r="P30" i="2"/>
  <c r="X30" i="2"/>
  <c r="AS30" i="2"/>
  <c r="BA30" i="1" s="1"/>
  <c r="AV18" i="2"/>
  <c r="AW37" i="1"/>
  <c r="BC37" i="1"/>
  <c r="M11" i="1"/>
  <c r="M14" i="1" s="1"/>
  <c r="M16" i="1" s="1"/>
  <c r="M19" i="1" s="1"/>
  <c r="M21" i="1" s="1"/>
  <c r="AQ37" i="1"/>
  <c r="BI37" i="1"/>
  <c r="AE11" i="1"/>
  <c r="AE14" i="1" s="1"/>
  <c r="AE16" i="1" s="1"/>
  <c r="AE19" i="1" s="1"/>
  <c r="AE21" i="1" s="1"/>
  <c r="BK21" i="1"/>
  <c r="BA38" i="2"/>
  <c r="AM15" i="6"/>
  <c r="BO25" i="4"/>
  <c r="BO7" i="1"/>
  <c r="BO11" i="1" s="1"/>
  <c r="BO14" i="1" s="1"/>
  <c r="BO16" i="1" s="1"/>
  <c r="BO19" i="1" s="1"/>
  <c r="BO21" i="1" s="1"/>
  <c r="BO5" i="1"/>
  <c r="AO15" i="6"/>
  <c r="AO6" i="3"/>
  <c r="AO11" i="3" s="1"/>
  <c r="AO21" i="3" s="1"/>
  <c r="BB25" i="4"/>
  <c r="BE25" i="4"/>
  <c r="AI25" i="4"/>
  <c r="AZ25" i="4"/>
  <c r="AH25" i="4"/>
  <c r="BI36" i="1"/>
  <c r="BH21" i="3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38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AQ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U26" i="6"/>
  <c r="U36" i="6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36" i="6"/>
  <c r="AC26" i="6"/>
  <c r="AP11" i="1"/>
  <c r="AP14" i="1" s="1"/>
  <c r="AP16" i="1" s="1"/>
  <c r="AP19" i="1" s="1"/>
  <c r="AJ38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4" i="6"/>
  <c r="BC38" i="4"/>
  <c r="AE38" i="4"/>
  <c r="S26" i="6"/>
  <c r="S36" i="6"/>
  <c r="AG26" i="6"/>
  <c r="AG36" i="6"/>
  <c r="E26" i="6"/>
  <c r="E28" i="6" s="1"/>
  <c r="AO21" i="1"/>
  <c r="AW38" i="2"/>
  <c r="BF21" i="1"/>
  <c r="R36" i="6"/>
  <c r="R26" i="6"/>
  <c r="AN38" i="2"/>
  <c r="AU21" i="1"/>
  <c r="AX38" i="2"/>
  <c r="BG21" i="1"/>
  <c r="AY38" i="2"/>
  <c r="BH21" i="1"/>
  <c r="AX36" i="6"/>
  <c r="AX26" i="6"/>
  <c r="AJ36" i="6"/>
  <c r="AJ26" i="6"/>
  <c r="AM38" i="2"/>
  <c r="AT21" i="1"/>
  <c r="AO38" i="2"/>
  <c r="AV21" i="1"/>
  <c r="S21" i="3" l="1"/>
  <c r="M21" i="3"/>
  <c r="AK16" i="4"/>
  <c r="AK25" i="4" s="1"/>
  <c r="S39" i="4"/>
  <c r="AE21" i="3"/>
  <c r="BC16" i="4"/>
  <c r="BC25" i="4" s="1"/>
  <c r="X39" i="4"/>
  <c r="G16" i="4"/>
  <c r="G24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4" i="1"/>
  <c r="Y24" i="1" s="1"/>
  <c r="Y16" i="4"/>
  <c r="S16" i="4"/>
  <c r="S24" i="1" s="1"/>
  <c r="Y26" i="6"/>
  <c r="Y28" i="6" s="1"/>
  <c r="Y32" i="6" s="1"/>
  <c r="N26" i="6"/>
  <c r="N28" i="6" s="1"/>
  <c r="N32" i="6" s="1"/>
  <c r="Y21" i="3"/>
  <c r="BC21" i="3"/>
  <c r="BB36" i="6"/>
  <c r="BB26" i="6"/>
  <c r="F26" i="6"/>
  <c r="F28" i="6" s="1"/>
  <c r="F32" i="6" s="1"/>
  <c r="AK39" i="4"/>
  <c r="G21" i="3"/>
  <c r="BI21" i="3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D26" i="6"/>
  <c r="AD33" i="6" s="1"/>
  <c r="M39" i="4"/>
  <c r="AQ36" i="6"/>
  <c r="AW39" i="4"/>
  <c r="M16" i="4"/>
  <c r="M24" i="1" s="1"/>
  <c r="AM11" i="1"/>
  <c r="AM14" i="1" s="1"/>
  <c r="AM16" i="1" s="1"/>
  <c r="AM19" i="1" s="1"/>
  <c r="AG38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1" i="1"/>
  <c r="AV38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N33" i="6"/>
  <c r="U28" i="6"/>
  <c r="U32" i="6" s="1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AB28" i="6"/>
  <c r="AB32" i="6" s="1"/>
  <c r="X28" i="6"/>
  <c r="X32" i="6" s="1"/>
  <c r="X33" i="6"/>
  <c r="J28" i="6"/>
  <c r="J32" i="6" s="1"/>
  <c r="J33" i="6"/>
  <c r="BC33" i="6" l="1"/>
  <c r="BC24" i="1"/>
  <c r="AQ25" i="4"/>
  <c r="Y33" i="6"/>
  <c r="C37" i="2"/>
  <c r="C47" i="2" s="1"/>
  <c r="D35" i="2" s="1"/>
  <c r="D37" i="2" s="1"/>
  <c r="D47" i="2" s="1"/>
  <c r="E35" i="2" s="1"/>
  <c r="BB28" i="6"/>
  <c r="BB32" i="6" s="1"/>
  <c r="BB33" i="6"/>
  <c r="F33" i="6"/>
  <c r="Y39" i="4"/>
  <c r="AQ6" i="3"/>
  <c r="AQ11" i="3" s="1"/>
  <c r="AQ21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6" i="6"/>
  <c r="AN26" i="6"/>
  <c r="BA28" i="6"/>
  <c r="BA32" i="6" s="1"/>
  <c r="BA33" i="6"/>
  <c r="AL36" i="6"/>
  <c r="AL26" i="6"/>
  <c r="AM21" i="3"/>
  <c r="AR28" i="6"/>
  <c r="AR32" i="6" s="1"/>
  <c r="AE33" i="6"/>
  <c r="BI25" i="4"/>
  <c r="AO28" i="6"/>
  <c r="AO32" i="6" s="1"/>
  <c r="AO33" i="6"/>
  <c r="Z26" i="6"/>
  <c r="Z36" i="6"/>
  <c r="AP21" i="3"/>
  <c r="AT36" i="6"/>
  <c r="AT26" i="6"/>
  <c r="E37" i="2" l="1"/>
  <c r="E47" i="2" s="1"/>
  <c r="F35" i="2" s="1"/>
  <c r="AL28" i="6"/>
  <c r="AL32" i="6" s="1"/>
  <c r="AL33" i="6"/>
  <c r="AQ36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37" i="2" l="1"/>
  <c r="F47" i="2" s="1"/>
  <c r="H35" i="2" s="1"/>
  <c r="H37" i="2" s="1"/>
  <c r="H47" i="2" s="1"/>
  <c r="I35" i="2" s="1"/>
  <c r="I37" i="2" s="1"/>
  <c r="I47" i="2" s="1"/>
  <c r="J35" i="2" s="1"/>
  <c r="J37" i="2" s="1"/>
  <c r="J47" i="2" s="1"/>
  <c r="K35" i="2" s="1"/>
  <c r="K37" i="2" s="1"/>
  <c r="K47" i="2" s="1"/>
  <c r="M35" i="2" s="1"/>
  <c r="M37" i="2" s="1"/>
  <c r="M47" i="2" s="1"/>
  <c r="N35" i="2" s="1"/>
  <c r="N37" i="2" s="1"/>
  <c r="N47" i="2" s="1"/>
  <c r="O35" i="2" s="1"/>
  <c r="O37" i="2" s="1"/>
  <c r="O47" i="2" s="1"/>
  <c r="P35" i="2" s="1"/>
  <c r="P37" i="2" s="1"/>
  <c r="P47" i="2" s="1"/>
  <c r="R35" i="2" s="1"/>
  <c r="R37" i="2" s="1"/>
  <c r="R47" i="2" s="1"/>
  <c r="S35" i="2" s="1"/>
  <c r="S37" i="2" s="1"/>
  <c r="S47" i="2" s="1"/>
  <c r="T35" i="2" s="1"/>
  <c r="T37" i="2" s="1"/>
  <c r="T47" i="2" s="1"/>
  <c r="U35" i="2" s="1"/>
  <c r="U37" i="2" s="1"/>
  <c r="U47" i="2" s="1"/>
  <c r="W35" i="2" s="1"/>
  <c r="W37" i="2" s="1"/>
  <c r="W47" i="2" s="1"/>
  <c r="X35" i="2" s="1"/>
  <c r="X37" i="2" s="1"/>
  <c r="X47" i="2" s="1"/>
  <c r="Y35" i="2" s="1"/>
  <c r="Y37" i="2" s="1"/>
  <c r="Y47" i="2" s="1"/>
  <c r="Z35" i="2" s="1"/>
  <c r="Z37" i="2" s="1"/>
  <c r="Z47" i="2" s="1"/>
  <c r="AB35" i="2" s="1"/>
  <c r="AB37" i="2" s="1"/>
  <c r="AB47" i="2" s="1"/>
  <c r="AC35" i="2" s="1"/>
  <c r="AC37" i="2" s="1"/>
  <c r="AC47" i="2" s="1"/>
  <c r="AD35" i="2" s="1"/>
  <c r="AD37" i="2" s="1"/>
  <c r="AD47" i="2" s="1"/>
  <c r="AE35" i="2" s="1"/>
  <c r="AE37" i="2" s="1"/>
  <c r="AE47" i="2" s="1"/>
  <c r="AG35" i="2" s="1"/>
  <c r="AG37" i="2" s="1"/>
  <c r="AG47" i="2" s="1"/>
  <c r="AH35" i="2" s="1"/>
  <c r="AH37" i="2" s="1"/>
  <c r="AH47" i="2" s="1"/>
  <c r="AI35" i="2" s="1"/>
  <c r="AI37" i="2" s="1"/>
  <c r="AI47" i="2" s="1"/>
  <c r="AJ35" i="2" s="1"/>
  <c r="AJ37" i="2" s="1"/>
  <c r="AJ47" i="2" s="1"/>
  <c r="AL35" i="2" s="1"/>
  <c r="AL37" i="2" s="1"/>
  <c r="AL47" i="2" s="1"/>
  <c r="AM35" i="2" s="1"/>
  <c r="AM37" i="2" s="1"/>
  <c r="AM47" i="2" s="1"/>
  <c r="AN35" i="2" s="1"/>
  <c r="AN37" i="2" s="1"/>
  <c r="AN47" i="2" s="1"/>
  <c r="AO35" i="2" s="1"/>
  <c r="AO37" i="2" s="1"/>
  <c r="AO47" i="2" s="1"/>
  <c r="AQ35" i="2" s="1"/>
  <c r="AQ37" i="2" s="1"/>
  <c r="AQ47" i="2" s="1"/>
  <c r="AR35" i="2" s="1"/>
  <c r="AR37" i="2" s="1"/>
  <c r="AR47" i="2" s="1"/>
  <c r="AS35" i="2" s="1"/>
  <c r="AS37" i="2" s="1"/>
  <c r="AS47" i="2" s="1"/>
  <c r="AT35" i="2" s="1"/>
  <c r="AT37" i="2" s="1"/>
  <c r="AT47" i="2" s="1"/>
  <c r="AV35" i="2" s="1"/>
  <c r="AV37" i="2" s="1"/>
  <c r="AV47" i="2" s="1"/>
  <c r="AW35" i="2" s="1"/>
  <c r="AW37" i="2" s="1"/>
  <c r="AW47" i="2" s="1"/>
  <c r="AX35" i="2" s="1"/>
  <c r="AX37" i="2" s="1"/>
  <c r="AX47" i="2" s="1"/>
  <c r="AY35" i="2" s="1"/>
  <c r="AY37" i="2" s="1"/>
  <c r="AY47" i="2" s="1"/>
  <c r="BA35" i="2" s="1"/>
  <c r="BA37" i="2" s="1"/>
  <c r="BA47" i="2" s="1"/>
  <c r="BB35" i="2" s="1"/>
  <c r="BB37" i="2" s="1"/>
  <c r="BB47" i="2" s="1"/>
  <c r="BC35" i="2" s="1"/>
  <c r="BC37" i="2" s="1"/>
  <c r="BC47" i="2" s="1"/>
  <c r="BD35" i="2" s="1"/>
  <c r="BD37" i="2" s="1"/>
  <c r="BD47" i="2" s="1"/>
  <c r="BF35" i="2" s="1"/>
  <c r="BF37" i="2" s="1"/>
  <c r="BF47" i="2" s="1"/>
  <c r="BG35" i="2" s="1"/>
  <c r="BG37" i="2" s="1"/>
  <c r="BG47" i="2" s="1"/>
  <c r="BH35" i="2" s="1"/>
  <c r="BH37" i="2" s="1"/>
  <c r="BH47" i="2" s="1"/>
  <c r="BI35" i="2" s="1"/>
  <c r="BI37" i="2" s="1"/>
  <c r="BI47" i="2" s="1"/>
  <c r="BK35" i="2" s="1"/>
  <c r="BK37" i="2" s="1"/>
  <c r="BK47" i="2" s="1"/>
  <c r="BL35" i="2" s="1"/>
  <c r="BL37" i="2" s="1"/>
  <c r="BL47" i="2" s="1"/>
  <c r="BM35" i="2" l="1"/>
  <c r="BM37" i="2" s="1"/>
  <c r="BM47" i="2" s="1"/>
  <c r="BN35" i="2" l="1"/>
  <c r="BN37" i="2" s="1"/>
  <c r="BN47" i="2" s="1"/>
  <c r="BP35" i="2" l="1"/>
  <c r="BP37" i="2" s="1"/>
  <c r="BP47" i="2" s="1"/>
  <c r="BQ35" i="2" l="1"/>
  <c r="BQ37" i="2" s="1"/>
  <c r="BQ47" i="2" s="1"/>
  <c r="BR35" i="2" l="1"/>
  <c r="BR37" i="2" s="1"/>
  <c r="BR47" i="2" s="1"/>
  <c r="BS35" i="2" l="1"/>
  <c r="BS37" i="2" s="1"/>
  <c r="BS47" i="2" s="1"/>
  <c r="BU35" i="2" s="1"/>
  <c r="BU37" i="2" s="1"/>
  <c r="BU47" i="2" s="1"/>
  <c r="BV35" i="2" s="1"/>
  <c r="BV37" i="2" s="1"/>
  <c r="BV47" i="2" s="1"/>
  <c r="BW35" i="2" l="1"/>
  <c r="BW37" i="2" s="1"/>
  <c r="BW47" i="2" s="1"/>
  <c r="BX35" i="2" s="1"/>
  <c r="BX37" i="2" s="1"/>
  <c r="BX47" i="2" s="1"/>
  <c r="BZ35" i="2" s="1"/>
  <c r="BZ37" i="2" s="1"/>
  <c r="BZ47" i="2" s="1"/>
  <c r="M8" i="7"/>
  <c r="M7" i="7"/>
  <c r="L10" i="7"/>
  <c r="L13" i="7" s="1"/>
  <c r="M6" i="7"/>
  <c r="M9" i="7"/>
  <c r="M10" i="7" l="1"/>
  <c r="M13" i="7" s="1"/>
  <c r="F59" i="7"/>
  <c r="G58" i="7"/>
  <c r="G57" i="7"/>
  <c r="F64" i="7"/>
  <c r="G62" i="7"/>
  <c r="G63" i="7"/>
  <c r="G64" i="7" l="1"/>
  <c r="G5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<sst xmlns="http://schemas.openxmlformats.org/spreadsheetml/2006/main" count="760" uniqueCount="202">
  <si>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</si>
  <si>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</si>
  <si>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</si>
  <si>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</si>
  <si>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</si>
  <si>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</si>
  <si>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</si>
  <si>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</si>
  <si>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</si>
  <si>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</si>
  <si>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</si>
  <si>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</si>
  <si>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</si>
  <si>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</si>
  <si>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</si>
  <si>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</si>
  <si>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</si>
  <si>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</si>
  <si>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</si>
  <si>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</si>
  <si>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</si>
  <si>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</si>
  <si>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</si>
  <si>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</si>
  <si>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</si>
  <si>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</si>
  <si>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</si>
  <si>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</si>
  <si>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</si>
  <si>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</si>
  <si>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</si>
  <si>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</si>
  <si>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</si>
  <si>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</si>
  <si>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</si>
  <si>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</si>
  <si>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</si>
  <si>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</si>
  <si>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</si>
  <si>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</si>
  <si>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</si>
  <si>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</si>
  <si>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</si>
  <si>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</si>
  <si>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</si>
  <si>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</si>
  <si>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</si>
  <si>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</si>
  <si>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</si>
  <si>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</si>
  <si>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</si>
  <si>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</si>
  <si>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</si>
  <si>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</si>
  <si>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</si>
  <si>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</si>
  <si>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</si>
  <si>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</si>
  <si>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</si>
  <si>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</si>
  <si>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</si>
  <si>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</si>
  <si>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</si>
  <si>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</si>
  <si>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</si>
  <si>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</si>
  <si>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</si>
  <si>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</si>
  <si>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</si>
  <si>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</si>
  <si>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</si>
  <si>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</si>
  <si>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</si>
  <si>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</si>
  <si>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</si>
  <si>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</si>
  <si>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</si>
  <si>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</si>
  <si>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</si>
  <si>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</si>
  <si>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</si>
  <si>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</si>
  <si>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</si>
  <si>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</si>
  <si>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</si>
  <si>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</si>
  <si>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</si>
  <si>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</si>
  <si>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</si>
  <si>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</si>
  <si>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</si>
  <si>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</si>
  <si>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</si>
  <si>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</si>
  <si>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</si>
  <si>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</si>
  <si>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</si>
  <si>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</si>
  <si>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</si>
  <si>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</si>
  <si>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</si>
  <si>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</si>
  <si>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</si>
  <si>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</si>
  <si>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</si>
  <si>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</si>
  <si>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</si>
  <si>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</si>
  <si>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</si>
  <si>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</si>
  <si>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</si>
  <si>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</si>
  <si>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</si>
  <si>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</si>
  <si>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</si>
  <si>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</si>
  <si>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</si>
  <si>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</si>
  <si>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</si>
  <si>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</si>
  <si>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</si>
  <si>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</si>
  <si>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</si>
  <si>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</si>
  <si>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</si>
  <si>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</si>
  <si>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</si>
  <si>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</si>
  <si>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</si>
  <si>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</si>
  <si>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</si>
  <si>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</si>
  <si>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</si>
  <si>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</si>
  <si>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</si>
  <si>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</si>
  <si>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</si>
  <si>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</si>
  <si>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</si>
  <si>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</si>
  <si>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</si>
  <si>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</si>
  <si>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</si>
  <si>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</si>
  <si>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</si>
  <si>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</si>
  <si>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</si>
  <si>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</si>
  <si>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</si>
  <si>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</si>
  <si>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</si>
  <si>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</si>
  <si>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</si>
  <si>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</si>
  <si>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</si>
  <si>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</si>
  <si>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</si>
  <si>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</si>
  <si>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</si>
  <si>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</si>
  <si>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</si>
  <si>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</si>
  <si>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</si>
  <si>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</si>
  <si>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</si>
  <si>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</si>
  <si>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</si>
  <si>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</si>
  <si>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</si>
  <si>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</si>
  <si>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</si>
  <si>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</si>
  <si>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</si>
  <si>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</si>
  <si>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</si>
  <si>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</si>
  <si>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</si>
  <si>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</si>
  <si>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</si>
  <si>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</si>
  <si>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Coupon payments on Hybrid capital</t>
  </si>
  <si>
    <t>2020</t>
  </si>
  <si>
    <t xml:space="preserve">Free cash flow </t>
  </si>
  <si>
    <t>Revenue (market prices)</t>
  </si>
  <si>
    <t>NKT - Solutions</t>
  </si>
  <si>
    <t>NKT - Applications</t>
  </si>
  <si>
    <t>NKT - Service &amp; Accessories</t>
  </si>
  <si>
    <t>Elimination of transactions between segments</t>
  </si>
  <si>
    <t>Operational EBITDA</t>
  </si>
  <si>
    <t>One-off costs</t>
  </si>
  <si>
    <t>Operational EBIT</t>
  </si>
  <si>
    <t>Non-allocated costs</t>
  </si>
  <si>
    <t>Working Capital</t>
  </si>
  <si>
    <t>Non-allocated items</t>
  </si>
  <si>
    <t>RoCE</t>
  </si>
  <si>
    <t xml:space="preserve">     </t>
  </si>
  <si>
    <t>*) Standard metalprices at 1,550 EUR/tonne for copper and 1,350 EUR/tonne for aluminium</t>
  </si>
  <si>
    <t>Revenue* (std. metal prices)</t>
  </si>
  <si>
    <t>Organic growth</t>
  </si>
  <si>
    <t>FTE, end of period</t>
  </si>
  <si>
    <t>Cash flow from investing activities excl. acq. &amp; div.</t>
  </si>
  <si>
    <t>Free cash flow excl. acq. &amp; div.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</si>
</sst>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  <fill>
      <patternFill patternType="gray125">
        <bgColor theme="0"/>
      </patternFill>
    </fill>
    <fill>
      <patternFill patternType="gray125">
        <bgColor rgb="FFE3EAF7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3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37" fontId="2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10" fontId="4" fillId="0" borderId="0" xfId="0" applyNumberFormat="1" applyFont="1"/>
    <xf numFmtId="9" fontId="4" fillId="0" borderId="0" xfId="2" applyFont="1"/>
    <xf numFmtId="9" fontId="4" fillId="3" borderId="0" xfId="2" applyFont="1" applyFill="1"/>
    <xf numFmtId="9" fontId="4" fillId="0" borderId="0" xfId="2" applyFont="1" applyFill="1"/>
    <xf numFmtId="168" fontId="4" fillId="0" borderId="0" xfId="1" applyNumberFormat="1" applyFont="1" applyFill="1"/>
    <xf numFmtId="168" fontId="4" fillId="0" borderId="0" xfId="1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3" borderId="0" xfId="0" applyNumberFormat="1" applyFont="1" applyFill="1"/>
    <xf numFmtId="1" fontId="4" fillId="0" borderId="0" xfId="0" applyNumberFormat="1" applyFont="1" applyFill="1"/>
    <xf numFmtId="37" fontId="4" fillId="3" borderId="0" xfId="0" applyNumberFormat="1" applyFont="1" applyFill="1"/>
    <xf numFmtId="164" fontId="4" fillId="0" borderId="0" xfId="1" applyFont="1"/>
    <xf numFmtId="168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 applyFill="1" applyBorder="1"/>
    <xf numFmtId="9" fontId="4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166" fontId="2" fillId="0" borderId="0" xfId="2" applyNumberFormat="1" applyFont="1" applyBorder="1"/>
    <xf numFmtId="166" fontId="2" fillId="0" borderId="0" xfId="2" applyNumberFormat="1" applyFont="1" applyFill="1" applyBorder="1"/>
    <xf numFmtId="0" fontId="4" fillId="4" borderId="0" xfId="0" applyFont="1" applyFill="1"/>
    <xf numFmtId="170" fontId="4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Fill="1"/>
    <xf numFmtId="37" fontId="2" fillId="0" borderId="0" xfId="0" quotePrefix="1" applyNumberFormat="1" applyFont="1"/>
    <xf numFmtId="37" fontId="4" fillId="0" borderId="0" xfId="0" quotePrefix="1" applyNumberFormat="1" applyFont="1"/>
    <xf numFmtId="0" fontId="2" fillId="6" borderId="0" xfId="0" applyFont="1" applyFill="1"/>
    <xf numFmtId="37" fontId="2" fillId="6" borderId="0" xfId="0" applyNumberFormat="1" applyFont="1" applyFill="1"/>
    <xf numFmtId="9" fontId="2" fillId="6" borderId="0" xfId="2" applyFont="1" applyFill="1"/>
    <xf numFmtId="165" fontId="2" fillId="6" borderId="0" xfId="0" applyNumberFormat="1" applyFont="1" applyFill="1"/>
    <xf numFmtId="37" fontId="4" fillId="6" borderId="0" xfId="0" applyNumberFormat="1" applyFont="1" applyFill="1"/>
    <xf numFmtId="9" fontId="4" fillId="6" borderId="0" xfId="2" applyFont="1" applyFill="1"/>
    <xf numFmtId="0" fontId="2" fillId="0" borderId="2" xfId="0" applyFont="1" applyBorder="1"/>
    <xf numFmtId="0" fontId="2" fillId="0" borderId="2" xfId="0" applyFont="1" applyFill="1" applyBorder="1"/>
    <xf numFmtId="37" fontId="2" fillId="6" borderId="0" xfId="0" applyNumberFormat="1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37" fontId="2" fillId="0" borderId="5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4" fillId="0" borderId="5" xfId="0" applyFont="1" applyBorder="1"/>
    <xf numFmtId="0" fontId="4" fillId="6" borderId="0" xfId="0" applyFont="1" applyFill="1"/>
    <xf numFmtId="37" fontId="2" fillId="6" borderId="3" xfId="0" applyNumberFormat="1" applyFont="1" applyFill="1" applyBorder="1"/>
    <xf numFmtId="0" fontId="2" fillId="0" borderId="7" xfId="0" applyFont="1" applyBorder="1"/>
    <xf numFmtId="37" fontId="2" fillId="0" borderId="7" xfId="0" applyNumberFormat="1" applyFont="1" applyFill="1" applyBorder="1"/>
    <xf numFmtId="37" fontId="2" fillId="0" borderId="7" xfId="0" applyNumberFormat="1" applyFont="1" applyBorder="1"/>
    <xf numFmtId="37" fontId="2" fillId="6" borderId="7" xfId="0" applyNumberFormat="1" applyFont="1" applyFill="1" applyBorder="1"/>
    <xf numFmtId="0" fontId="4" fillId="0" borderId="3" xfId="0" applyFont="1" applyBorder="1"/>
    <xf numFmtId="37" fontId="4" fillId="0" borderId="3" xfId="0" applyNumberFormat="1" applyFont="1" applyBorder="1"/>
    <xf numFmtId="37" fontId="4" fillId="0" borderId="3" xfId="0" applyNumberFormat="1" applyFont="1" applyFill="1" applyBorder="1"/>
    <xf numFmtId="0" fontId="2" fillId="0" borderId="3" xfId="0" applyFont="1" applyBorder="1"/>
    <xf numFmtId="166" fontId="2" fillId="6" borderId="0" xfId="2" applyNumberFormat="1" applyFont="1" applyFill="1" applyBorder="1"/>
    <xf numFmtId="37" fontId="4" fillId="3" borderId="3" xfId="0" applyNumberFormat="1" applyFont="1" applyFill="1" applyBorder="1"/>
    <xf numFmtId="0" fontId="2" fillId="0" borderId="3" xfId="0" applyFont="1" applyFill="1" applyBorder="1"/>
    <xf numFmtId="166" fontId="2" fillId="0" borderId="3" xfId="2" applyNumberFormat="1" applyFont="1" applyBorder="1"/>
    <xf numFmtId="166" fontId="2" fillId="6" borderId="3" xfId="2" applyNumberFormat="1" applyFont="1" applyFill="1" applyBorder="1"/>
    <xf numFmtId="166" fontId="2" fillId="0" borderId="3" xfId="2" applyNumberFormat="1" applyFont="1" applyFill="1" applyBorder="1"/>
    <xf numFmtId="0" fontId="11" fillId="0" borderId="0" xfId="0" applyFont="1"/>
    <xf numFmtId="167" fontId="4" fillId="6" borderId="0" xfId="0" applyNumberFormat="1" applyFont="1" applyFill="1"/>
    <xf numFmtId="37" fontId="4" fillId="6" borderId="3" xfId="0" applyNumberFormat="1" applyFont="1" applyFill="1" applyBorder="1"/>
    <xf numFmtId="170" fontId="2" fillId="0" borderId="2" xfId="0" applyNumberFormat="1" applyFont="1" applyBorder="1"/>
    <xf numFmtId="170" fontId="2" fillId="6" borderId="2" xfId="0" applyNumberFormat="1" applyFont="1" applyFill="1" applyBorder="1"/>
    <xf numFmtId="170" fontId="2" fillId="6" borderId="0" xfId="0" applyNumberFormat="1" applyFont="1" applyFill="1"/>
    <xf numFmtId="170" fontId="2" fillId="0" borderId="0" xfId="0" applyNumberFormat="1" applyFont="1"/>
    <xf numFmtId="170" fontId="4" fillId="0" borderId="4" xfId="0" applyNumberFormat="1" applyFont="1" applyBorder="1"/>
    <xf numFmtId="170" fontId="2" fillId="6" borderId="4" xfId="0" applyNumberFormat="1" applyFont="1" applyFill="1" applyBorder="1"/>
    <xf numFmtId="170" fontId="2" fillId="0" borderId="5" xfId="0" applyNumberFormat="1" applyFont="1" applyBorder="1"/>
    <xf numFmtId="170" fontId="2" fillId="6" borderId="5" xfId="0" applyNumberFormat="1" applyFont="1" applyFill="1" applyBorder="1"/>
    <xf numFmtId="170" fontId="4" fillId="6" borderId="4" xfId="0" applyNumberFormat="1" applyFont="1" applyFill="1" applyBorder="1"/>
    <xf numFmtId="170" fontId="4" fillId="0" borderId="5" xfId="0" applyNumberFormat="1" applyFont="1" applyBorder="1"/>
    <xf numFmtId="170" fontId="4" fillId="6" borderId="5" xfId="0" applyNumberFormat="1" applyFont="1" applyFill="1" applyBorder="1"/>
    <xf numFmtId="170" fontId="4" fillId="6" borderId="0" xfId="0" applyNumberFormat="1" applyFont="1" applyFill="1"/>
    <xf numFmtId="170" fontId="4" fillId="0" borderId="0" xfId="0" applyNumberFormat="1" applyFont="1" applyFill="1"/>
    <xf numFmtId="170" fontId="4" fillId="0" borderId="4" xfId="0" applyNumberFormat="1" applyFont="1" applyFill="1" applyBorder="1"/>
    <xf numFmtId="170" fontId="2" fillId="0" borderId="0" xfId="0" applyNumberFormat="1" applyFont="1" applyBorder="1"/>
    <xf numFmtId="170" fontId="2" fillId="6" borderId="0" xfId="0" applyNumberFormat="1" applyFont="1" applyFill="1" applyBorder="1"/>
    <xf numFmtId="170" fontId="3" fillId="0" borderId="2" xfId="0" applyNumberFormat="1" applyFont="1" applyFill="1" applyBorder="1" applyAlignment="1">
      <alignment horizontal="right"/>
    </xf>
    <xf numFmtId="170" fontId="2" fillId="6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/>
    <xf numFmtId="170" fontId="4" fillId="0" borderId="2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/>
    <xf numFmtId="165" fontId="4" fillId="6" borderId="0" xfId="0" applyNumberFormat="1" applyFont="1" applyFill="1"/>
    <xf numFmtId="165" fontId="4" fillId="0" borderId="4" xfId="0" applyNumberFormat="1" applyFont="1" applyBorder="1"/>
    <xf numFmtId="165" fontId="2" fillId="0" borderId="4" xfId="0" applyNumberFormat="1" applyFont="1" applyBorder="1"/>
    <xf numFmtId="165" fontId="4" fillId="0" borderId="5" xfId="0" applyNumberFormat="1" applyFont="1" applyBorder="1"/>
    <xf numFmtId="165" fontId="2" fillId="0" borderId="5" xfId="0" applyNumberFormat="1" applyFont="1" applyBorder="1"/>
    <xf numFmtId="165" fontId="4" fillId="0" borderId="6" xfId="0" applyNumberFormat="1" applyFont="1" applyBorder="1"/>
    <xf numFmtId="165" fontId="2" fillId="0" borderId="6" xfId="0" applyNumberFormat="1" applyFont="1" applyBorder="1"/>
    <xf numFmtId="165" fontId="4" fillId="0" borderId="0" xfId="0" applyNumberFormat="1" applyFont="1" applyBorder="1"/>
    <xf numFmtId="165" fontId="6" fillId="0" borderId="0" xfId="0" applyNumberFormat="1" applyFont="1" applyFill="1"/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4" fillId="0" borderId="2" xfId="0" applyNumberFormat="1" applyFont="1" applyBorder="1"/>
    <xf numFmtId="165" fontId="7" fillId="0" borderId="0" xfId="0" applyNumberFormat="1" applyFont="1" applyFill="1"/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165" fontId="2" fillId="0" borderId="7" xfId="0" applyNumberFormat="1" applyFont="1" applyBorder="1"/>
    <xf numFmtId="165" fontId="2" fillId="6" borderId="7" xfId="0" applyNumberFormat="1" applyFont="1" applyFill="1" applyBorder="1"/>
    <xf numFmtId="165" fontId="2" fillId="0" borderId="7" xfId="0" applyNumberFormat="1" applyFont="1" applyFill="1" applyBorder="1"/>
    <xf numFmtId="165" fontId="4" fillId="0" borderId="7" xfId="0" applyNumberFormat="1" applyFont="1" applyBorder="1"/>
    <xf numFmtId="165" fontId="4" fillId="0" borderId="3" xfId="0" applyNumberFormat="1" applyFont="1" applyBorder="1"/>
    <xf numFmtId="165" fontId="2" fillId="6" borderId="3" xfId="0" applyNumberFormat="1" applyFont="1" applyFill="1" applyBorder="1"/>
    <xf numFmtId="165" fontId="4" fillId="0" borderId="3" xfId="0" applyNumberFormat="1" applyFont="1" applyFill="1" applyBorder="1"/>
    <xf numFmtId="165" fontId="4" fillId="3" borderId="0" xfId="0" applyNumberFormat="1" applyFont="1" applyFill="1" applyBorder="1"/>
    <xf numFmtId="165" fontId="2" fillId="0" borderId="3" xfId="0" applyNumberFormat="1" applyFont="1" applyBorder="1"/>
    <xf numFmtId="165" fontId="2" fillId="6" borderId="0" xfId="0" applyNumberFormat="1" applyFont="1" applyFill="1" applyBorder="1"/>
    <xf numFmtId="170" fontId="4" fillId="3" borderId="0" xfId="0" applyNumberFormat="1" applyFont="1" applyFill="1"/>
    <xf numFmtId="170" fontId="2" fillId="0" borderId="7" xfId="0" applyNumberFormat="1" applyFont="1" applyBorder="1"/>
    <xf numFmtId="170" fontId="2" fillId="6" borderId="7" xfId="0" applyNumberFormat="1" applyFont="1" applyFill="1" applyBorder="1"/>
    <xf numFmtId="170" fontId="2" fillId="0" borderId="3" xfId="0" applyNumberFormat="1" applyFont="1" applyBorder="1"/>
    <xf numFmtId="170" fontId="2" fillId="6" borderId="3" xfId="0" applyNumberFormat="1" applyFont="1" applyFill="1" applyBorder="1"/>
    <xf numFmtId="170" fontId="4" fillId="0" borderId="0" xfId="0" applyNumberFormat="1" applyFont="1" applyBorder="1"/>
    <xf numFmtId="170" fontId="4" fillId="0" borderId="0" xfId="0" applyNumberFormat="1" applyFont="1" applyFill="1" applyBorder="1"/>
    <xf numFmtId="170" fontId="4" fillId="2" borderId="0" xfId="0" applyNumberFormat="1" applyFont="1" applyFill="1" applyBorder="1"/>
    <xf numFmtId="170" fontId="4" fillId="3" borderId="0" xfId="0" applyNumberFormat="1" applyFont="1" applyFill="1" applyBorder="1"/>
    <xf numFmtId="170" fontId="2" fillId="0" borderId="5" xfId="0" applyNumberFormat="1" applyFont="1" applyFill="1" applyBorder="1"/>
    <xf numFmtId="170" fontId="2" fillId="3" borderId="5" xfId="0" applyNumberFormat="1" applyFont="1" applyFill="1" applyBorder="1"/>
    <xf numFmtId="170" fontId="2" fillId="0" borderId="3" xfId="0" applyNumberFormat="1" applyFont="1" applyFill="1" applyBorder="1"/>
    <xf numFmtId="170" fontId="2" fillId="3" borderId="3" xfId="0" applyNumberFormat="1" applyFont="1" applyFill="1" applyBorder="1"/>
    <xf numFmtId="170" fontId="4" fillId="3" borderId="5" xfId="0" applyNumberFormat="1" applyFont="1" applyFill="1" applyBorder="1"/>
    <xf numFmtId="170" fontId="4" fillId="0" borderId="0" xfId="0" applyNumberFormat="1" applyFont="1" applyAlignment="1">
      <alignment horizontal="right"/>
    </xf>
    <xf numFmtId="170" fontId="4" fillId="0" borderId="3" xfId="0" applyNumberFormat="1" applyFont="1" applyBorder="1"/>
    <xf numFmtId="170" fontId="2" fillId="0" borderId="0" xfId="0" applyNumberFormat="1" applyFont="1" applyFill="1" applyBorder="1"/>
    <xf numFmtId="170" fontId="4" fillId="6" borderId="0" xfId="0" applyNumberFormat="1" applyFont="1" applyFill="1" applyBorder="1"/>
    <xf numFmtId="170" fontId="4" fillId="0" borderId="3" xfId="0" applyNumberFormat="1" applyFont="1" applyFill="1" applyBorder="1"/>
    <xf numFmtId="170" fontId="4" fillId="6" borderId="3" xfId="0" applyNumberFormat="1" applyFont="1" applyFill="1" applyBorder="1"/>
    <xf numFmtId="170" fontId="4" fillId="3" borderId="3" xfId="0" applyNumberFormat="1" applyFont="1" applyFill="1" applyBorder="1"/>
    <xf numFmtId="170" fontId="2" fillId="3" borderId="7" xfId="0" applyNumberFormat="1" applyFont="1" applyFill="1" applyBorder="1"/>
    <xf numFmtId="170" fontId="2" fillId="0" borderId="7" xfId="0" applyNumberFormat="1" applyFont="1" applyFill="1" applyBorder="1"/>
    <xf numFmtId="170" fontId="2" fillId="0" borderId="0" xfId="0" applyNumberFormat="1" applyFont="1" applyFill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165" fontId="2" fillId="0" borderId="0" xfId="0" applyNumberFormat="1" applyFont="1" applyBorder="1"/>
    <xf numFmtId="166" fontId="4" fillId="0" borderId="0" xfId="2" applyNumberFormat="1" applyFont="1"/>
    <xf numFmtId="37" fontId="12" fillId="0" borderId="0" xfId="0" applyNumberFormat="1" applyFont="1"/>
    <xf numFmtId="170" fontId="12" fillId="0" borderId="0" xfId="0" applyNumberFormat="1" applyFont="1"/>
    <xf numFmtId="171" fontId="4" fillId="0" borderId="0" xfId="0" applyNumberFormat="1" applyFont="1"/>
    <xf numFmtId="0" fontId="4" fillId="5" borderId="0" xfId="0" applyFont="1" applyFill="1"/>
    <xf numFmtId="0" fontId="15" fillId="5" borderId="0" xfId="0" applyFont="1" applyFill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7" fillId="5" borderId="0" xfId="0" applyFont="1" applyFill="1"/>
    <xf numFmtId="0" fontId="15" fillId="5" borderId="0" xfId="0" applyNumberFormat="1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8" xfId="0" applyFont="1" applyBorder="1"/>
    <xf numFmtId="0" fontId="4" fillId="6" borderId="8" xfId="0" applyFont="1" applyFill="1" applyBorder="1"/>
    <xf numFmtId="167" fontId="4" fillId="0" borderId="8" xfId="0" applyNumberFormat="1" applyFont="1" applyBorder="1"/>
    <xf numFmtId="167" fontId="4" fillId="6" borderId="8" xfId="0" applyNumberFormat="1" applyFont="1" applyFill="1" applyBorder="1"/>
    <xf numFmtId="167" fontId="4" fillId="0" borderId="8" xfId="0" applyNumberFormat="1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18" fillId="0" borderId="8" xfId="0" applyFont="1" applyFill="1" applyBorder="1"/>
    <xf numFmtId="0" fontId="2" fillId="6" borderId="0" xfId="0" applyFont="1" applyFill="1" applyBorder="1"/>
    <xf numFmtId="37" fontId="4" fillId="0" borderId="0" xfId="0" applyNumberFormat="1" applyFont="1" applyBorder="1"/>
    <xf numFmtId="168" fontId="2" fillId="0" borderId="0" xfId="1" applyNumberFormat="1" applyFont="1" applyBorder="1"/>
    <xf numFmtId="0" fontId="2" fillId="0" borderId="8" xfId="0" applyFont="1" applyBorder="1"/>
    <xf numFmtId="166" fontId="2" fillId="0" borderId="8" xfId="2" applyNumberFormat="1" applyFont="1" applyBorder="1"/>
    <xf numFmtId="166" fontId="2" fillId="6" borderId="8" xfId="2" applyNumberFormat="1" applyFont="1" applyFill="1" applyBorder="1"/>
    <xf numFmtId="166" fontId="2" fillId="0" borderId="8" xfId="2" applyNumberFormat="1" applyFont="1" applyFill="1" applyBorder="1"/>
    <xf numFmtId="165" fontId="2" fillId="0" borderId="9" xfId="0" applyNumberFormat="1" applyFont="1" applyBorder="1"/>
    <xf numFmtId="165" fontId="4" fillId="0" borderId="9" xfId="0" applyNumberFormat="1" applyFont="1" applyBorder="1"/>
    <xf numFmtId="165" fontId="8" fillId="0" borderId="8" xfId="0" applyNumberFormat="1" applyFont="1" applyFill="1" applyBorder="1"/>
    <xf numFmtId="165" fontId="9" fillId="0" borderId="8" xfId="0" applyNumberFormat="1" applyFont="1" applyFill="1" applyBorder="1"/>
    <xf numFmtId="165" fontId="9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10" fillId="0" borderId="8" xfId="0" applyNumberFormat="1" applyFont="1" applyFill="1" applyBorder="1"/>
    <xf numFmtId="165" fontId="18" fillId="0" borderId="8" xfId="0" applyNumberFormat="1" applyFont="1" applyFill="1" applyBorder="1"/>
    <xf numFmtId="165" fontId="4" fillId="0" borderId="9" xfId="0" applyNumberFormat="1" applyFont="1" applyFill="1" applyBorder="1"/>
    <xf numFmtId="0" fontId="2" fillId="6" borderId="8" xfId="0" applyFont="1" applyFill="1" applyBorder="1"/>
    <xf numFmtId="0" fontId="4" fillId="3" borderId="8" xfId="0" applyFont="1" applyFill="1" applyBorder="1"/>
    <xf numFmtId="37" fontId="4" fillId="3" borderId="8" xfId="0" applyNumberFormat="1" applyFont="1" applyFill="1" applyBorder="1"/>
    <xf numFmtId="0" fontId="4" fillId="0" borderId="8" xfId="0" applyFont="1" applyFill="1" applyBorder="1"/>
    <xf numFmtId="37" fontId="4" fillId="0" borderId="8" xfId="0" applyNumberFormat="1" applyFont="1" applyFill="1" applyBorder="1"/>
    <xf numFmtId="166" fontId="2" fillId="6" borderId="0" xfId="2" applyNumberFormat="1" applyFont="1" applyFill="1" applyBorder="1" applyAlignment="1">
      <alignment horizontal="right"/>
    </xf>
    <xf numFmtId="165" fontId="2" fillId="3" borderId="7" xfId="0" applyNumberFormat="1" applyFont="1" applyFill="1" applyBorder="1"/>
    <xf numFmtId="165" fontId="4" fillId="3" borderId="3" xfId="0" applyNumberFormat="1" applyFont="1" applyFill="1" applyBorder="1"/>
    <xf numFmtId="165" fontId="2" fillId="3" borderId="0" xfId="0" applyNumberFormat="1" applyFont="1" applyFill="1"/>
    <xf numFmtId="172" fontId="4" fillId="0" borderId="0" xfId="0" applyNumberFormat="1" applyFont="1"/>
    <xf numFmtId="173" fontId="4" fillId="0" borderId="0" xfId="0" applyNumberFormat="1" applyFont="1"/>
    <xf numFmtId="173" fontId="4" fillId="6" borderId="0" xfId="0" applyNumberFormat="1" applyFont="1" applyFill="1"/>
    <xf numFmtId="173" fontId="2" fillId="0" borderId="0" xfId="0" applyNumberFormat="1" applyFont="1"/>
    <xf numFmtId="173" fontId="4" fillId="0" borderId="4" xfId="0" applyNumberFormat="1" applyFont="1" applyBorder="1"/>
    <xf numFmtId="173" fontId="4" fillId="6" borderId="4" xfId="0" applyNumberFormat="1" applyFont="1" applyFill="1" applyBorder="1"/>
    <xf numFmtId="173" fontId="2" fillId="0" borderId="4" xfId="0" applyNumberFormat="1" applyFont="1" applyBorder="1"/>
    <xf numFmtId="173" fontId="4" fillId="0" borderId="5" xfId="0" applyNumberFormat="1" applyFont="1" applyBorder="1"/>
    <xf numFmtId="173" fontId="4" fillId="6" borderId="5" xfId="0" applyNumberFormat="1" applyFont="1" applyFill="1" applyBorder="1"/>
    <xf numFmtId="173" fontId="2" fillId="0" borderId="5" xfId="0" applyNumberFormat="1" applyFont="1" applyBorder="1"/>
    <xf numFmtId="173" fontId="4" fillId="0" borderId="5" xfId="0" applyNumberFormat="1" applyFont="1" applyFill="1" applyBorder="1"/>
    <xf numFmtId="173" fontId="4" fillId="0" borderId="0" xfId="0" applyNumberFormat="1" applyFont="1" applyBorder="1"/>
    <xf numFmtId="173" fontId="4" fillId="6" borderId="0" xfId="0" applyNumberFormat="1" applyFont="1" applyFill="1" applyBorder="1"/>
    <xf numFmtId="173" fontId="2" fillId="0" borderId="0" xfId="0" applyNumberFormat="1" applyFont="1" applyBorder="1"/>
    <xf numFmtId="173" fontId="4" fillId="0" borderId="6" xfId="0" applyNumberFormat="1" applyFont="1" applyBorder="1"/>
    <xf numFmtId="173" fontId="4" fillId="6" borderId="6" xfId="0" applyNumberFormat="1" applyFont="1" applyFill="1" applyBorder="1"/>
    <xf numFmtId="173" fontId="2" fillId="0" borderId="6" xfId="0" applyNumberFormat="1" applyFont="1" applyBorder="1"/>
    <xf numFmtId="173" fontId="4" fillId="0" borderId="0" xfId="1" applyNumberFormat="1" applyFont="1"/>
    <xf numFmtId="173" fontId="3" fillId="0" borderId="0" xfId="0" applyNumberFormat="1" applyFont="1" applyFill="1" applyAlignment="1"/>
    <xf numFmtId="173" fontId="3" fillId="6" borderId="0" xfId="0" applyNumberFormat="1" applyFont="1" applyFill="1" applyAlignment="1"/>
    <xf numFmtId="173" fontId="2" fillId="0" borderId="0" xfId="0" applyNumberFormat="1" applyFont="1" applyFill="1" applyAlignment="1">
      <alignment horizontal="center"/>
    </xf>
    <xf numFmtId="173" fontId="2" fillId="0" borderId="0" xfId="0" applyNumberFormat="1" applyFont="1" applyFill="1" applyAlignment="1"/>
    <xf numFmtId="173" fontId="2" fillId="6" borderId="0" xfId="0" applyNumberFormat="1" applyFont="1" applyFill="1" applyAlignment="1"/>
    <xf numFmtId="173" fontId="2" fillId="6" borderId="0" xfId="0" applyNumberFormat="1" applyFont="1" applyFill="1" applyAlignment="1">
      <alignment horizontal="center"/>
    </xf>
    <xf numFmtId="173" fontId="3" fillId="0" borderId="2" xfId="0" applyNumberFormat="1" applyFont="1" applyFill="1" applyBorder="1" applyAlignment="1">
      <alignment horizontal="right"/>
    </xf>
    <xf numFmtId="173" fontId="3" fillId="6" borderId="2" xfId="0" applyNumberFormat="1" applyFont="1" applyFill="1" applyBorder="1" applyAlignment="1">
      <alignment horizontal="right"/>
    </xf>
    <xf numFmtId="173" fontId="2" fillId="0" borderId="2" xfId="0" applyNumberFormat="1" applyFont="1" applyFill="1" applyBorder="1" applyAlignment="1">
      <alignment horizontal="right"/>
    </xf>
    <xf numFmtId="173" fontId="4" fillId="0" borderId="2" xfId="0" applyNumberFormat="1" applyFont="1" applyBorder="1"/>
    <xf numFmtId="173" fontId="4" fillId="0" borderId="0" xfId="0" applyNumberFormat="1" applyFont="1" applyFill="1"/>
    <xf numFmtId="173" fontId="4" fillId="0" borderId="4" xfId="0" applyNumberFormat="1" applyFont="1" applyFill="1" applyBorder="1"/>
    <xf numFmtId="173" fontId="4" fillId="3" borderId="0" xfId="0" applyNumberFormat="1" applyFont="1" applyFill="1"/>
    <xf numFmtId="173" fontId="4" fillId="3" borderId="4" xfId="0" applyNumberFormat="1" applyFont="1" applyFill="1" applyBorder="1"/>
    <xf numFmtId="173" fontId="4" fillId="0" borderId="9" xfId="0" applyNumberFormat="1" applyFont="1" applyBorder="1"/>
    <xf numFmtId="173" fontId="4" fillId="6" borderId="9" xfId="0" applyNumberFormat="1" applyFont="1" applyFill="1" applyBorder="1"/>
    <xf numFmtId="173" fontId="2" fillId="0" borderId="9" xfId="0" applyNumberFormat="1" applyFont="1" applyBorder="1"/>
    <xf numFmtId="173" fontId="4" fillId="0" borderId="9" xfId="0" applyNumberFormat="1" applyFont="1" applyFill="1" applyBorder="1"/>
    <xf numFmtId="164" fontId="4" fillId="0" borderId="0" xfId="0" applyNumberFormat="1" applyFont="1"/>
    <xf numFmtId="0" fontId="4" fillId="0" borderId="1" xfId="0" applyFont="1" applyBorder="1"/>
    <xf numFmtId="170" fontId="4" fillId="0" borderId="1" xfId="0" applyNumberFormat="1" applyFont="1" applyBorder="1"/>
    <xf numFmtId="170" fontId="2" fillId="6" borderId="1" xfId="0" applyNumberFormat="1" applyFont="1" applyFill="1" applyBorder="1"/>
    <xf numFmtId="170" fontId="4" fillId="3" borderId="4" xfId="0" applyNumberFormat="1" applyFont="1" applyFill="1" applyBorder="1"/>
    <xf numFmtId="0" fontId="4" fillId="0" borderId="7" xfId="0" applyFont="1" applyBorder="1"/>
    <xf numFmtId="166" fontId="4" fillId="0" borderId="0" xfId="2" applyNumberFormat="1" applyFont="1" applyFill="1" applyBorder="1"/>
    <xf numFmtId="0" fontId="12" fillId="0" borderId="0" xfId="0" applyFont="1" applyAlignment="1">
      <alignment vertical="top"/>
    </xf>
    <xf numFmtId="170" fontId="4" fillId="0" borderId="7" xfId="0" applyNumberFormat="1" applyFont="1" applyBorder="1"/>
    <xf numFmtId="170" fontId="2" fillId="3" borderId="0" xfId="0" applyNumberFormat="1" applyFont="1" applyFill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66" fontId="2" fillId="0" borderId="2" xfId="2" applyNumberFormat="1" applyFont="1" applyFill="1" applyBorder="1"/>
    <xf numFmtId="166" fontId="2" fillId="6" borderId="2" xfId="2" applyNumberFormat="1" applyFont="1" applyFill="1" applyBorder="1"/>
    <xf numFmtId="173" fontId="2" fillId="0" borderId="0" xfId="2" applyNumberFormat="1" applyFont="1" applyBorder="1"/>
    <xf numFmtId="173" fontId="2" fillId="6" borderId="0" xfId="2" applyNumberFormat="1" applyFont="1" applyFill="1" applyBorder="1"/>
    <xf numFmtId="173" fontId="4" fillId="0" borderId="0" xfId="2" applyNumberFormat="1" applyFont="1" applyBorder="1"/>
    <xf numFmtId="173" fontId="2" fillId="0" borderId="0" xfId="0" applyNumberFormat="1" applyFont="1" applyFill="1"/>
    <xf numFmtId="173" fontId="2" fillId="6" borderId="0" xfId="0" applyNumberFormat="1" applyFont="1" applyFill="1"/>
    <xf numFmtId="9" fontId="2" fillId="0" borderId="5" xfId="2" applyFont="1" applyBorder="1"/>
    <xf numFmtId="9" fontId="2" fillId="3" borderId="5" xfId="2" applyFont="1" applyFill="1" applyBorder="1"/>
    <xf numFmtId="9" fontId="2" fillId="6" borderId="5" xfId="2" applyFont="1" applyFill="1" applyBorder="1"/>
    <xf numFmtId="9" fontId="2" fillId="0" borderId="1" xfId="2" applyFont="1" applyBorder="1"/>
    <xf numFmtId="9" fontId="2" fillId="3" borderId="1" xfId="2" applyFont="1" applyFill="1" applyBorder="1"/>
    <xf numFmtId="9" fontId="2" fillId="6" borderId="1" xfId="2" applyFont="1" applyFill="1" applyBorder="1"/>
    <xf numFmtId="170" fontId="4" fillId="1" borderId="0" xfId="0" applyNumberFormat="1" applyFont="1" applyFill="1"/>
    <xf numFmtId="170" fontId="4" fillId="7" borderId="0" xfId="0" applyNumberFormat="1" applyFont="1" applyFill="1"/>
    <xf numFmtId="170" fontId="2" fillId="8" borderId="0" xfId="0" applyNumberFormat="1" applyFont="1" applyFill="1"/>
    <xf numFmtId="166" fontId="4" fillId="0" borderId="0" xfId="2" applyNumberFormat="1" applyFont="1" applyFill="1" applyBorder="1" applyAlignment="1">
      <alignment horizontal="right"/>
    </xf>
    <xf numFmtId="3" fontId="4" fillId="0" borderId="0" xfId="2" applyNumberFormat="1" applyFont="1" applyFill="1" applyBorder="1"/>
    <xf numFmtId="3" fontId="2" fillId="6" borderId="0" xfId="2" applyNumberFormat="1" applyFont="1" applyFill="1" applyBorder="1"/>
    <xf numFmtId="3" fontId="2" fillId="0" borderId="0" xfId="0" applyNumberFormat="1" applyFont="1"/>
    <xf numFmtId="0" fontId="4" fillId="0" borderId="5" xfId="0" applyFont="1" applyFill="1" applyBorder="1"/>
    <xf numFmtId="3" fontId="4" fillId="0" borderId="2" xfId="2" applyNumberFormat="1" applyFont="1" applyFill="1" applyBorder="1"/>
    <xf numFmtId="3" fontId="2" fillId="6" borderId="2" xfId="2" applyNumberFormat="1" applyFont="1" applyFill="1" applyBorder="1"/>
    <xf numFmtId="3" fontId="2" fillId="0" borderId="2" xfId="0" applyNumberFormat="1" applyFont="1" applyBorder="1"/>
    <xf numFmtId="168" fontId="4" fillId="0" borderId="0" xfId="0" applyNumberFormat="1" applyFont="1" applyFill="1"/>
    <xf numFmtId="0" fontId="16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5" borderId="0" xfId="0" quotePrefix="1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5" borderId="0" xfId="0" quotePrefix="1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  <xf numFmtId="170" fontId="4" fillId="0" borderId="5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9346" cy="5721350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2020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tabSelected="1" zoomScale="150" zoomScaleNormal="150" workbookViewId="0"/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6"/>
    </row>
    <row r="6" spans="1:14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6"/>
    </row>
    <row r="7" spans="1:14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6"/>
    </row>
    <row r="8" spans="1:14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</row>
    <row r="9" spans="1:14" ht="44.25" customHeight="1" x14ac:dyDescent="0.6">
      <c r="A9" s="156"/>
      <c r="B9" s="272" t="s">
        <v>153</v>
      </c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157"/>
      <c r="N9" s="156"/>
    </row>
    <row r="10" spans="1:14" ht="44.25" x14ac:dyDescent="0.55000000000000004">
      <c r="A10" s="156"/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157"/>
      <c r="N10" s="156"/>
    </row>
    <row r="11" spans="1:14" ht="44.25" x14ac:dyDescent="0.55000000000000004">
      <c r="A11" s="156"/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157"/>
      <c r="N11" s="156"/>
    </row>
    <row r="12" spans="1:14" ht="44.25" x14ac:dyDescent="0.55000000000000004">
      <c r="A12" s="156"/>
      <c r="B12" s="273"/>
      <c r="C12" s="273"/>
      <c r="D12" s="273"/>
      <c r="E12" s="273"/>
      <c r="F12" s="273"/>
      <c r="G12" s="273"/>
      <c r="H12" s="273"/>
      <c r="I12" s="273"/>
      <c r="J12" s="273"/>
      <c r="K12" s="273"/>
      <c r="L12" s="273"/>
      <c r="M12" s="157"/>
      <c r="N12" s="156"/>
    </row>
    <row r="13" spans="1:14" ht="12.75" customHeight="1" x14ac:dyDescent="0.5500000000000000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6"/>
    </row>
    <row r="14" spans="1:14" ht="12.75" customHeight="1" x14ac:dyDescent="0.55000000000000004">
      <c r="A14" s="156"/>
      <c r="B14" s="157"/>
      <c r="C14" s="159" t="s">
        <v>49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ht="12.75" customHeight="1" x14ac:dyDescent="0.55000000000000004">
      <c r="A15" s="156"/>
      <c r="B15" s="157"/>
      <c r="C15" s="159" t="s">
        <v>49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6"/>
    </row>
    <row r="17" spans="1:23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6"/>
    </row>
    <row r="18" spans="1:23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6"/>
    </row>
    <row r="19" spans="1:23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6"/>
      <c r="O19" s="162"/>
    </row>
    <row r="20" spans="1:23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6"/>
      <c r="O20" s="162"/>
    </row>
    <row r="21" spans="1:23" x14ac:dyDescent="0.2">
      <c r="A21" s="156"/>
      <c r="B21" s="160"/>
      <c r="C21" s="157"/>
      <c r="D21" s="157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62"/>
      <c r="Q21" s="162"/>
    </row>
    <row r="22" spans="1:23" x14ac:dyDescent="0.2">
      <c r="A22" s="156"/>
      <c r="B22" s="16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6"/>
      <c r="O22" s="162"/>
    </row>
    <row r="23" spans="1:23" x14ac:dyDescent="0.2">
      <c r="A23" s="156"/>
      <c r="B23" s="161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6"/>
      <c r="O23" s="162"/>
      <c r="Q23" s="162"/>
    </row>
    <row r="24" spans="1:23" ht="18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6"/>
      <c r="O24" s="162"/>
      <c r="Q24" s="162"/>
    </row>
    <row r="25" spans="1:23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6"/>
      <c r="O25" s="162"/>
    </row>
    <row r="29" spans="1:23" x14ac:dyDescent="0.2">
      <c r="C29" s="2" t="s">
        <v>49</v>
      </c>
    </row>
    <row r="30" spans="1:23" x14ac:dyDescent="0.2">
      <c r="U30" s="9"/>
      <c r="V30" s="24"/>
      <c r="W30" s="24"/>
    </row>
    <row r="31" spans="1:23" x14ac:dyDescent="0.2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S51"/>
  <sheetViews>
    <sheetView showGridLines="0" zoomScale="90" zoomScaleNormal="90" zoomScaleSheetLayoutView="75" workbookViewId="0">
      <pane xSplit="1" ySplit="3" topLeftCell="CC4" activePane="bottomRight" state="frozen"/>
      <selection activeCell="O4" sqref="O4"/>
      <selection pane="topRight" activeCell="O4" sqref="O4"/>
      <selection pane="bottomLeft" activeCell="O4" sqref="O4"/>
      <selection pane="bottomRight" activeCell="CO47" sqref="CO47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92" width="3.5703125" style="2" customWidth="1"/>
    <col min="93" max="16384" width="9.140625" style="2"/>
  </cols>
  <sheetData>
    <row r="1" spans="1:97" x14ac:dyDescent="0.2">
      <c r="C1" s="276"/>
      <c r="D1" s="276"/>
      <c r="E1" s="276"/>
      <c r="F1" s="276"/>
      <c r="G1" s="276"/>
      <c r="I1" s="276"/>
      <c r="J1" s="276"/>
      <c r="K1" s="276"/>
      <c r="L1" s="276"/>
      <c r="M1" s="276"/>
      <c r="O1" s="276"/>
      <c r="P1" s="276"/>
      <c r="Q1" s="276"/>
      <c r="R1" s="276"/>
      <c r="S1" s="276"/>
      <c r="U1" s="276"/>
      <c r="V1" s="276"/>
      <c r="W1" s="276"/>
      <c r="X1" s="276"/>
      <c r="Y1" s="276"/>
      <c r="AA1" s="276"/>
      <c r="AB1" s="276"/>
      <c r="AC1" s="276"/>
      <c r="AD1" s="276"/>
      <c r="AE1" s="276"/>
      <c r="AG1" s="276"/>
      <c r="AH1" s="276"/>
      <c r="AI1" s="276"/>
      <c r="AJ1" s="276"/>
      <c r="AK1" s="276"/>
      <c r="AM1" s="276"/>
      <c r="AN1" s="276"/>
      <c r="AO1" s="276"/>
      <c r="AP1" s="276"/>
      <c r="AQ1" s="276"/>
      <c r="AS1" s="276"/>
      <c r="AT1" s="276"/>
      <c r="AU1" s="276"/>
      <c r="AV1" s="276"/>
      <c r="AW1" s="276"/>
      <c r="AY1" s="276"/>
      <c r="AZ1" s="276"/>
      <c r="BA1" s="276"/>
      <c r="BB1" s="276"/>
      <c r="BC1" s="276"/>
      <c r="BE1" s="276"/>
      <c r="BF1" s="276"/>
      <c r="BG1" s="276"/>
      <c r="BH1" s="276"/>
      <c r="BI1" s="276"/>
      <c r="BK1" s="276"/>
      <c r="BL1" s="276"/>
      <c r="BM1" s="276"/>
      <c r="BN1" s="276"/>
      <c r="BO1" s="276"/>
      <c r="BQ1" s="276"/>
      <c r="BR1" s="276"/>
      <c r="BS1" s="276"/>
      <c r="BT1" s="276"/>
      <c r="BU1" s="276"/>
      <c r="BW1" s="275" t="s">
        <v>166</v>
      </c>
      <c r="BX1" s="275"/>
      <c r="BY1" s="275"/>
      <c r="BZ1" s="275"/>
      <c r="CA1" s="275"/>
      <c r="CC1" s="275"/>
      <c r="CD1" s="275"/>
      <c r="CE1" s="275"/>
      <c r="CF1" s="275"/>
      <c r="CG1" s="275"/>
      <c r="CI1" s="275"/>
      <c r="CJ1" s="275"/>
      <c r="CK1" s="275"/>
      <c r="CL1" s="275"/>
      <c r="CM1" s="275"/>
    </row>
    <row r="2" spans="1:97" x14ac:dyDescent="0.2">
      <c r="A2" s="1" t="s">
        <v>154</v>
      </c>
      <c r="C2" s="274">
        <v>2005</v>
      </c>
      <c r="D2" s="274"/>
      <c r="E2" s="274"/>
      <c r="F2" s="274"/>
      <c r="G2" s="274"/>
      <c r="I2" s="274">
        <v>2006</v>
      </c>
      <c r="J2" s="274"/>
      <c r="K2" s="274"/>
      <c r="L2" s="274"/>
      <c r="M2" s="274"/>
      <c r="O2" s="274">
        <v>2007</v>
      </c>
      <c r="P2" s="274"/>
      <c r="Q2" s="274"/>
      <c r="R2" s="274"/>
      <c r="S2" s="274"/>
      <c r="U2" s="274">
        <v>2008</v>
      </c>
      <c r="V2" s="274"/>
      <c r="W2" s="274"/>
      <c r="X2" s="274"/>
      <c r="Y2" s="274"/>
      <c r="AA2" s="274">
        <v>2009</v>
      </c>
      <c r="AB2" s="274"/>
      <c r="AC2" s="274"/>
      <c r="AD2" s="274"/>
      <c r="AE2" s="274"/>
      <c r="AG2" s="274">
        <v>2010</v>
      </c>
      <c r="AH2" s="274"/>
      <c r="AI2" s="274"/>
      <c r="AJ2" s="274"/>
      <c r="AK2" s="274"/>
      <c r="AM2" s="274">
        <v>2011</v>
      </c>
      <c r="AN2" s="274"/>
      <c r="AO2" s="274"/>
      <c r="AP2" s="274"/>
      <c r="AQ2" s="274"/>
      <c r="AS2" s="274">
        <v>2012</v>
      </c>
      <c r="AT2" s="274"/>
      <c r="AU2" s="274"/>
      <c r="AV2" s="274"/>
      <c r="AW2" s="274"/>
      <c r="AY2" s="274">
        <v>2013</v>
      </c>
      <c r="AZ2" s="274"/>
      <c r="BA2" s="274"/>
      <c r="BB2" s="274"/>
      <c r="BC2" s="274"/>
      <c r="BE2" s="274">
        <v>2014</v>
      </c>
      <c r="BF2" s="274"/>
      <c r="BG2" s="274"/>
      <c r="BH2" s="274"/>
      <c r="BI2" s="274"/>
      <c r="BK2" s="274">
        <v>2015</v>
      </c>
      <c r="BL2" s="274"/>
      <c r="BM2" s="274"/>
      <c r="BN2" s="274"/>
      <c r="BO2" s="274"/>
      <c r="BQ2" s="274">
        <v>2016</v>
      </c>
      <c r="BR2" s="274"/>
      <c r="BS2" s="274"/>
      <c r="BT2" s="274"/>
      <c r="BU2" s="274"/>
      <c r="BW2" s="274">
        <v>2017</v>
      </c>
      <c r="BX2" s="274"/>
      <c r="BY2" s="274"/>
      <c r="BZ2" s="274"/>
      <c r="CA2" s="274"/>
      <c r="CC2" s="274">
        <v>2018</v>
      </c>
      <c r="CD2" s="274"/>
      <c r="CE2" s="274"/>
      <c r="CF2" s="274"/>
      <c r="CG2" s="274"/>
      <c r="CI2" s="274">
        <v>2019</v>
      </c>
      <c r="CJ2" s="274"/>
      <c r="CK2" s="274"/>
      <c r="CL2" s="274"/>
      <c r="CM2" s="274"/>
      <c r="CO2" s="274">
        <v>2020</v>
      </c>
      <c r="CP2" s="274"/>
      <c r="CQ2" s="274"/>
      <c r="CR2" s="274"/>
      <c r="CS2" s="274"/>
    </row>
    <row r="3" spans="1:97" s="170" customFormat="1" x14ac:dyDescent="0.2">
      <c r="A3" s="169" t="s">
        <v>104</v>
      </c>
      <c r="C3" s="172" t="s">
        <v>10</v>
      </c>
      <c r="D3" s="172" t="s">
        <v>11</v>
      </c>
      <c r="E3" s="172" t="s">
        <v>12</v>
      </c>
      <c r="F3" s="172" t="s">
        <v>13</v>
      </c>
      <c r="G3" s="172" t="s">
        <v>14</v>
      </c>
      <c r="I3" s="172" t="s">
        <v>10</v>
      </c>
      <c r="J3" s="172" t="s">
        <v>11</v>
      </c>
      <c r="K3" s="172" t="s">
        <v>12</v>
      </c>
      <c r="L3" s="172" t="s">
        <v>13</v>
      </c>
      <c r="M3" s="172" t="s">
        <v>14</v>
      </c>
      <c r="N3" s="172"/>
      <c r="O3" s="172" t="s">
        <v>10</v>
      </c>
      <c r="P3" s="172" t="s">
        <v>11</v>
      </c>
      <c r="Q3" s="172" t="s">
        <v>12</v>
      </c>
      <c r="R3" s="172" t="s">
        <v>13</v>
      </c>
      <c r="S3" s="172" t="s">
        <v>14</v>
      </c>
      <c r="T3" s="172"/>
      <c r="U3" s="172" t="s">
        <v>10</v>
      </c>
      <c r="V3" s="172" t="s">
        <v>11</v>
      </c>
      <c r="W3" s="172" t="s">
        <v>12</v>
      </c>
      <c r="X3" s="172" t="s">
        <v>13</v>
      </c>
      <c r="Y3" s="172" t="s">
        <v>14</v>
      </c>
      <c r="Z3" s="172"/>
      <c r="AA3" s="172" t="s">
        <v>10</v>
      </c>
      <c r="AB3" s="172" t="s">
        <v>11</v>
      </c>
      <c r="AC3" s="172" t="s">
        <v>12</v>
      </c>
      <c r="AD3" s="172" t="s">
        <v>13</v>
      </c>
      <c r="AE3" s="172" t="s">
        <v>14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 t="s">
        <v>14</v>
      </c>
      <c r="AM3" s="172" t="s">
        <v>10</v>
      </c>
      <c r="AN3" s="172" t="s">
        <v>11</v>
      </c>
      <c r="AO3" s="172" t="s">
        <v>12</v>
      </c>
      <c r="AP3" s="172" t="s">
        <v>13</v>
      </c>
      <c r="AQ3" s="172" t="s">
        <v>14</v>
      </c>
      <c r="AS3" s="172" t="s">
        <v>10</v>
      </c>
      <c r="AT3" s="172" t="s">
        <v>11</v>
      </c>
      <c r="AU3" s="172" t="s">
        <v>12</v>
      </c>
      <c r="AV3" s="172" t="s">
        <v>13</v>
      </c>
      <c r="AW3" s="172" t="s">
        <v>14</v>
      </c>
      <c r="AY3" s="172" t="s">
        <v>10</v>
      </c>
      <c r="AZ3" s="172" t="s">
        <v>11</v>
      </c>
      <c r="BA3" s="172" t="s">
        <v>12</v>
      </c>
      <c r="BB3" s="172" t="s">
        <v>13</v>
      </c>
      <c r="BC3" s="172" t="s">
        <v>14</v>
      </c>
      <c r="BE3" s="172" t="s">
        <v>10</v>
      </c>
      <c r="BF3" s="172" t="s">
        <v>11</v>
      </c>
      <c r="BG3" s="172" t="s">
        <v>12</v>
      </c>
      <c r="BH3" s="172" t="s">
        <v>13</v>
      </c>
      <c r="BI3" s="172" t="s">
        <v>14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  <c r="CI3" s="172" t="s">
        <v>10</v>
      </c>
      <c r="CJ3" s="172" t="s">
        <v>11</v>
      </c>
      <c r="CK3" s="172" t="s">
        <v>12</v>
      </c>
      <c r="CL3" s="172" t="s">
        <v>13</v>
      </c>
      <c r="CM3" s="172" t="s">
        <v>14</v>
      </c>
      <c r="CO3" s="172" t="s">
        <v>10</v>
      </c>
      <c r="CP3" s="172" t="s">
        <v>11</v>
      </c>
      <c r="CQ3" s="172" t="s">
        <v>12</v>
      </c>
      <c r="CR3" s="172" t="s">
        <v>13</v>
      </c>
      <c r="CS3" s="172" t="s">
        <v>14</v>
      </c>
    </row>
    <row r="4" spans="1:97" x14ac:dyDescent="0.2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  <c r="CG4" s="36"/>
      <c r="CM4" s="36"/>
      <c r="CS4" s="36"/>
    </row>
    <row r="5" spans="1:97" s="42" customFormat="1" ht="18.75" customHeight="1" x14ac:dyDescent="0.2">
      <c r="A5" s="42" t="s">
        <v>126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('OLD Segment Data 2005-2019'!J13)/7.45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+'OLD Segment Data 2005-2019'!BN13</f>
        <v>541.00000000000011</v>
      </c>
      <c r="BO5" s="74">
        <f>SUM(BK5:BN5)</f>
        <v>2223.55033557047</v>
      </c>
      <c r="BP5" s="73"/>
      <c r="BQ5" s="73">
        <f>+'OLD Segment Data 2005-2019'!BQ13</f>
        <v>485.59999999999997</v>
      </c>
      <c r="BR5" s="73">
        <v>553.20000000000005</v>
      </c>
      <c r="BS5" s="73">
        <v>519</v>
      </c>
      <c r="BT5" s="73">
        <f>+'OLD Segment Data 2005-2019'!BT13</f>
        <v>546.79999999999995</v>
      </c>
      <c r="BU5" s="74">
        <f>SUM(BQ5:BT5)</f>
        <v>2104.6</v>
      </c>
      <c r="BW5" s="73">
        <f>+'OLD Segment Data 2005-2019'!BW13</f>
        <v>550.29999999999995</v>
      </c>
      <c r="BX5" s="73">
        <f>+'OLD Segment Data 2005-2019'!BX13</f>
        <v>681.5</v>
      </c>
      <c r="BY5" s="73">
        <f>+'OLD Segment Data 2005-2019'!BY13</f>
        <v>660.5</v>
      </c>
      <c r="BZ5" s="73">
        <f>+'OLD Segment Data 2005-2019'!BZ13</f>
        <v>388.7</v>
      </c>
      <c r="CA5" s="74">
        <f>SUM(BW5:BZ5)</f>
        <v>2281</v>
      </c>
      <c r="CC5" s="73">
        <f>+'OLD Segment Data 2005-2019'!CC13</f>
        <v>363.5</v>
      </c>
      <c r="CD5" s="73">
        <v>424.7</v>
      </c>
      <c r="CE5" s="73">
        <v>381.8</v>
      </c>
      <c r="CF5" s="73">
        <f>-1170+1501.6</f>
        <v>331.59999999999991</v>
      </c>
      <c r="CG5" s="74">
        <f>SUM(CC5:CF5)</f>
        <v>1501.6</v>
      </c>
      <c r="CI5" s="73">
        <f>+'OLD Segment Data 2005-2019'!CI13</f>
        <v>294.3</v>
      </c>
      <c r="CJ5" s="73">
        <v>355.4</v>
      </c>
      <c r="CK5" s="73">
        <f>+'OLD Segment Data 2005-2019'!CK13</f>
        <v>325.3</v>
      </c>
      <c r="CL5" s="73">
        <f>+'OLD Segment Data 2005-2019'!CL13</f>
        <v>367.4</v>
      </c>
      <c r="CM5" s="74">
        <f>SUM(CI5:CL5)</f>
        <v>1342.4</v>
      </c>
      <c r="CO5" s="73">
        <f>+'Segment Data 2017-2020'!U13</f>
        <v>331.09999999999997</v>
      </c>
      <c r="CP5" s="73"/>
      <c r="CQ5" s="73"/>
      <c r="CR5" s="73"/>
      <c r="CS5" s="74">
        <f>SUM(CO5:CR5)</f>
        <v>331.09999999999997</v>
      </c>
    </row>
    <row r="6" spans="1:97" ht="6" customHeight="1" x14ac:dyDescent="0.2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  <c r="CC6" s="7"/>
      <c r="CD6" s="7"/>
      <c r="CE6" s="7"/>
      <c r="CF6" s="7"/>
      <c r="CG6" s="37"/>
      <c r="CI6" s="7"/>
      <c r="CJ6" s="7"/>
      <c r="CK6" s="7"/>
      <c r="CL6" s="7"/>
      <c r="CM6" s="37"/>
      <c r="CO6" s="7"/>
      <c r="CP6" s="7"/>
      <c r="CQ6" s="7"/>
      <c r="CR6" s="7"/>
      <c r="CS6" s="37"/>
    </row>
    <row r="7" spans="1:97" s="5" customFormat="1" ht="18.75" customHeight="1" x14ac:dyDescent="0.2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+'OLD Segment Data 2005-2019'!BQ38</f>
        <v>35.900999999999996</v>
      </c>
      <c r="BR7" s="76">
        <v>50.8</v>
      </c>
      <c r="BS7" s="76">
        <v>6.2</v>
      </c>
      <c r="BT7" s="76">
        <f>+'OLD Segment Data 2005-2019'!BT38</f>
        <v>31.799999999999997</v>
      </c>
      <c r="BU7" s="75">
        <f>SUM(BQ7:BT7)</f>
        <v>124.70099999999999</v>
      </c>
      <c r="BV7" s="76"/>
      <c r="BW7" s="76">
        <f>+'OLD Segment Data 2005-2019'!BW38</f>
        <v>32</v>
      </c>
      <c r="BX7" s="76">
        <f>+'OLD Segment Data 2005-2019'!BX38</f>
        <v>71.7</v>
      </c>
      <c r="BY7" s="76">
        <f>+'OLD Segment Data 2005-2019'!BY38</f>
        <v>54.6</v>
      </c>
      <c r="BZ7" s="76">
        <f>+'OLD Segment Data 2005-2019'!BZ38</f>
        <v>21.800000000000008</v>
      </c>
      <c r="CA7" s="75">
        <f>SUM(BW7:BZ7)</f>
        <v>180.10000000000002</v>
      </c>
      <c r="CC7" s="76">
        <f>+'OLD Segment Data 2005-2019'!CC38</f>
        <v>15.8</v>
      </c>
      <c r="CD7" s="76">
        <v>25.6</v>
      </c>
      <c r="CE7" s="76">
        <v>17.8</v>
      </c>
      <c r="CF7" s="76">
        <f>-59.2+49.8</f>
        <v>-9.4000000000000057</v>
      </c>
      <c r="CG7" s="75">
        <f>SUM(CC7:CF7)</f>
        <v>49.8</v>
      </c>
      <c r="CI7" s="76">
        <f>+'OLD Segment Data 2005-2019'!CI38</f>
        <v>0.19999999999999996</v>
      </c>
      <c r="CJ7" s="76">
        <f>+'OLD Segment Data 2005-2019'!CJ38</f>
        <v>9.4</v>
      </c>
      <c r="CK7" s="76">
        <f>+'OLD Segment Data 2005-2019'!CK38</f>
        <v>5.9</v>
      </c>
      <c r="CL7" s="76">
        <f>+'OLD Segment Data 2005-2019'!CL38</f>
        <v>2.2000000000000002</v>
      </c>
      <c r="CM7" s="75">
        <f>SUM(CI7:CL7)</f>
        <v>17.7</v>
      </c>
      <c r="CO7" s="76">
        <f>+'Segment Data 2017-2020'!U40</f>
        <v>7.9999999999999991</v>
      </c>
      <c r="CP7" s="76"/>
      <c r="CQ7" s="76"/>
      <c r="CR7" s="76"/>
      <c r="CS7" s="75">
        <f>SUM(CO7:CR7)</f>
        <v>7.9999999999999991</v>
      </c>
    </row>
    <row r="8" spans="1:97" x14ac:dyDescent="0.2">
      <c r="A8" s="2" t="s">
        <v>46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  <c r="CC8" s="31">
        <v>-16.399999999999999</v>
      </c>
      <c r="CD8" s="31">
        <v>-16</v>
      </c>
      <c r="CE8" s="31">
        <v>-16</v>
      </c>
      <c r="CF8" s="85">
        <f>-66.4+48.4</f>
        <v>-18.000000000000007</v>
      </c>
      <c r="CG8" s="75">
        <f>SUM(CC8:CF8)</f>
        <v>-66.400000000000006</v>
      </c>
      <c r="CI8" s="31">
        <f>-15.9-1.4</f>
        <v>-17.3</v>
      </c>
      <c r="CJ8" s="31">
        <f>-16-1.4</f>
        <v>-17.399999999999999</v>
      </c>
      <c r="CK8" s="31">
        <f>-16.4-1.3</f>
        <v>-17.7</v>
      </c>
      <c r="CL8" s="85">
        <f>-21.5-1.2</f>
        <v>-22.7</v>
      </c>
      <c r="CM8" s="75">
        <f>SUM(CI8:CL8)</f>
        <v>-75.100000000000009</v>
      </c>
      <c r="CN8" s="199"/>
      <c r="CO8" s="31">
        <v>-17.8</v>
      </c>
      <c r="CP8" s="31"/>
      <c r="CQ8" s="31"/>
      <c r="CR8" s="85"/>
      <c r="CS8" s="75">
        <f>SUM(CO8:CR8)</f>
        <v>-17.8</v>
      </c>
    </row>
    <row r="9" spans="1:97" x14ac:dyDescent="0.2">
      <c r="A9" s="2" t="s">
        <v>88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  <c r="CC9" s="31">
        <v>-5</v>
      </c>
      <c r="CD9" s="31">
        <v>-5.3</v>
      </c>
      <c r="CE9" s="31">
        <v>-4.8</v>
      </c>
      <c r="CF9" s="85">
        <f>-20.9+15.1</f>
        <v>-5.7999999999999989</v>
      </c>
      <c r="CG9" s="75">
        <f>SUM(CC9:CF9)</f>
        <v>-20.9</v>
      </c>
      <c r="CI9" s="31">
        <v>-5.5</v>
      </c>
      <c r="CJ9" s="31">
        <v>-5.3</v>
      </c>
      <c r="CK9" s="31">
        <v>-5.2</v>
      </c>
      <c r="CL9" s="85">
        <v>-9.6</v>
      </c>
      <c r="CM9" s="75">
        <f>SUM(CI9:CL9)</f>
        <v>-25.6</v>
      </c>
      <c r="CN9" s="199"/>
      <c r="CO9" s="31">
        <v>-5.4</v>
      </c>
      <c r="CP9" s="31"/>
      <c r="CQ9" s="31"/>
      <c r="CR9" s="85"/>
      <c r="CS9" s="75">
        <f>SUM(CO9:CR9)</f>
        <v>-5.4</v>
      </c>
    </row>
    <row r="10" spans="1:97" s="47" customFormat="1" x14ac:dyDescent="0.2">
      <c r="A10" s="47" t="s">
        <v>93</v>
      </c>
      <c r="C10" s="77">
        <v>0</v>
      </c>
      <c r="D10" s="77"/>
      <c r="E10" s="77"/>
      <c r="F10" s="77"/>
      <c r="G10" s="78">
        <f>SUM(C10:F10)</f>
        <v>0</v>
      </c>
      <c r="H10" s="77"/>
      <c r="I10" s="77"/>
      <c r="J10" s="77"/>
      <c r="K10" s="77"/>
      <c r="L10" s="77"/>
      <c r="M10" s="78">
        <f>SUM(I10:L10)</f>
        <v>0</v>
      </c>
      <c r="N10" s="77"/>
      <c r="O10" s="77"/>
      <c r="P10" s="77"/>
      <c r="Q10" s="77"/>
      <c r="R10" s="77"/>
      <c r="S10" s="78">
        <f>SUM(O10:R10)</f>
        <v>0</v>
      </c>
      <c r="T10" s="77"/>
      <c r="U10" s="77">
        <v>0</v>
      </c>
      <c r="V10" s="77">
        <v>0</v>
      </c>
      <c r="W10" s="77">
        <v>0</v>
      </c>
      <c r="X10" s="77">
        <v>-7.1140939597315436</v>
      </c>
      <c r="Y10" s="78">
        <f>SUM(U10:X10)</f>
        <v>-7.1140939597315436</v>
      </c>
      <c r="Z10" s="77"/>
      <c r="AA10" s="77">
        <v>0</v>
      </c>
      <c r="AB10" s="77">
        <v>0</v>
      </c>
      <c r="AC10" s="77">
        <v>0</v>
      </c>
      <c r="AD10" s="77">
        <v>0</v>
      </c>
      <c r="AE10" s="78">
        <f>SUM(AA10:AD10)</f>
        <v>0</v>
      </c>
      <c r="AF10" s="77"/>
      <c r="AG10" s="77">
        <v>0</v>
      </c>
      <c r="AH10" s="77">
        <v>0</v>
      </c>
      <c r="AI10" s="77">
        <v>0</v>
      </c>
      <c r="AJ10" s="77">
        <v>0</v>
      </c>
      <c r="AK10" s="78">
        <f>SUM(AG10:AJ10)</f>
        <v>0</v>
      </c>
      <c r="AL10" s="77"/>
      <c r="AM10" s="77">
        <v>0</v>
      </c>
      <c r="AN10" s="77">
        <v>0</v>
      </c>
      <c r="AO10" s="77">
        <v>0</v>
      </c>
      <c r="AP10" s="86">
        <v>-9.1275167785234892</v>
      </c>
      <c r="AQ10" s="78">
        <f>SUM(AM10:AP10)</f>
        <v>-9.1275167785234892</v>
      </c>
      <c r="AR10" s="77"/>
      <c r="AS10" s="77">
        <v>0</v>
      </c>
      <c r="AT10" s="77">
        <v>0</v>
      </c>
      <c r="AU10" s="77">
        <v>0</v>
      </c>
      <c r="AV10" s="86">
        <v>-0.80536912751677847</v>
      </c>
      <c r="AW10" s="78">
        <f>SUM(AS10:AV10)</f>
        <v>-0.80536912751677847</v>
      </c>
      <c r="AX10" s="77"/>
      <c r="AY10" s="77">
        <v>0</v>
      </c>
      <c r="AZ10" s="77">
        <v>0</v>
      </c>
      <c r="BA10" s="77">
        <v>0</v>
      </c>
      <c r="BB10" s="86">
        <v>-8.8590604026845643</v>
      </c>
      <c r="BC10" s="78">
        <f>SUM(AY10:BB10)</f>
        <v>-8.8590604026845643</v>
      </c>
      <c r="BD10" s="77"/>
      <c r="BE10" s="77">
        <v>0</v>
      </c>
      <c r="BF10" s="77">
        <v>0</v>
      </c>
      <c r="BG10" s="77">
        <v>0</v>
      </c>
      <c r="BH10" s="86">
        <v>-2.6845637583892619</v>
      </c>
      <c r="BI10" s="78">
        <f>SUM(BE10:BH10)</f>
        <v>-2.6845637583892619</v>
      </c>
      <c r="BJ10" s="77"/>
      <c r="BK10" s="77">
        <v>0</v>
      </c>
      <c r="BL10" s="77">
        <v>-37.181208053691272</v>
      </c>
      <c r="BM10" s="77">
        <v>0.93959731543624159</v>
      </c>
      <c r="BN10" s="86">
        <v>-0.8</v>
      </c>
      <c r="BO10" s="78">
        <f>SUM(BK10:BN10)</f>
        <v>-37.041610738255031</v>
      </c>
      <c r="BP10" s="77"/>
      <c r="BQ10" s="77">
        <v>0</v>
      </c>
      <c r="BR10" s="77">
        <v>0</v>
      </c>
      <c r="BS10" s="77">
        <v>-6.7</v>
      </c>
      <c r="BT10" s="86">
        <v>3.4</v>
      </c>
      <c r="BU10" s="78">
        <f>SUM(BQ10:BT10)</f>
        <v>-3.3000000000000003</v>
      </c>
      <c r="BV10" s="77"/>
      <c r="BW10" s="77">
        <v>0</v>
      </c>
      <c r="BX10" s="77">
        <v>0</v>
      </c>
      <c r="BY10" s="77">
        <v>0</v>
      </c>
      <c r="BZ10" s="86">
        <v>-0.9</v>
      </c>
      <c r="CA10" s="78">
        <f>SUM(BW10:BZ10)</f>
        <v>-0.9</v>
      </c>
      <c r="CC10" s="77">
        <v>0</v>
      </c>
      <c r="CD10" s="77">
        <v>0</v>
      </c>
      <c r="CE10" s="77">
        <v>0</v>
      </c>
      <c r="CF10" s="86">
        <v>0</v>
      </c>
      <c r="CG10" s="78">
        <f>SUM(CC10:CF10)</f>
        <v>0</v>
      </c>
      <c r="CI10" s="77">
        <v>0</v>
      </c>
      <c r="CJ10" s="77">
        <v>0</v>
      </c>
      <c r="CK10" s="77">
        <v>0</v>
      </c>
      <c r="CL10" s="86">
        <v>0</v>
      </c>
      <c r="CM10" s="78">
        <f>SUM(CI10:CL10)</f>
        <v>0</v>
      </c>
      <c r="CO10" s="77">
        <v>0</v>
      </c>
      <c r="CP10" s="77"/>
      <c r="CQ10" s="77"/>
      <c r="CR10" s="86"/>
      <c r="CS10" s="78">
        <f>SUM(CO10:CR10)</f>
        <v>0</v>
      </c>
    </row>
    <row r="11" spans="1:97" s="5" customFormat="1" ht="18.75" customHeight="1" x14ac:dyDescent="0.2">
      <c r="A11" s="5" t="s">
        <v>3</v>
      </c>
      <c r="C11" s="76">
        <f>SUM(C7:C10)</f>
        <v>9.932885906040271</v>
      </c>
      <c r="D11" s="76">
        <f>SUM(D7:D10)</f>
        <v>16.778523489932887</v>
      </c>
      <c r="E11" s="76">
        <f>SUM(E7:E10)</f>
        <v>18.657718120805367</v>
      </c>
      <c r="F11" s="76">
        <f>SUM(F7:F10)</f>
        <v>20.536912751677853</v>
      </c>
      <c r="G11" s="75">
        <f>SUM(G7:G10)</f>
        <v>65.906040268456366</v>
      </c>
      <c r="H11" s="76"/>
      <c r="I11" s="76">
        <f>SUM(I7:I10)</f>
        <v>16.644295302013422</v>
      </c>
      <c r="J11" s="76">
        <f>SUM(J7:J10)</f>
        <v>43.489932885906036</v>
      </c>
      <c r="K11" s="76">
        <f>SUM(K7:K10)</f>
        <v>27.114093959731544</v>
      </c>
      <c r="L11" s="76">
        <f>SUM(L7:L10)</f>
        <v>22.550335570469798</v>
      </c>
      <c r="M11" s="75">
        <f>SUM(M7:M10)</f>
        <v>109.79865771812081</v>
      </c>
      <c r="N11" s="76"/>
      <c r="O11" s="76">
        <f>SUM(O7:O10)</f>
        <v>25.637583892617453</v>
      </c>
      <c r="P11" s="76">
        <f>SUM(P7:P10)</f>
        <v>44.429530201342281</v>
      </c>
      <c r="Q11" s="76">
        <f>SUM(Q7:Q10)</f>
        <v>33.288590604026844</v>
      </c>
      <c r="R11" s="76">
        <f>SUM(R7:R10)</f>
        <v>48.724832214765101</v>
      </c>
      <c r="S11" s="75">
        <f>SUM(S7:S10)</f>
        <v>152.08053691275168</v>
      </c>
      <c r="T11" s="76"/>
      <c r="U11" s="87">
        <f>SUM(U7:U10)</f>
        <v>30.33557046979865</v>
      </c>
      <c r="V11" s="87">
        <f>SUM(V7:V10)</f>
        <v>50.604026845637584</v>
      </c>
      <c r="W11" s="87">
        <f>SUM(W7:W10)</f>
        <v>32.348993288590606</v>
      </c>
      <c r="X11" s="87">
        <f>SUM(X7:X10)</f>
        <v>-3.4899328859060388</v>
      </c>
      <c r="Y11" s="88">
        <f>SUM(Y7:Y10)</f>
        <v>109.79865771812081</v>
      </c>
      <c r="Z11" s="76"/>
      <c r="AA11" s="87">
        <f>SUM(AA7:AA10)</f>
        <v>4.8322147651006704</v>
      </c>
      <c r="AB11" s="87">
        <f>SUM(AB7:AB10)</f>
        <v>19.597315436241612</v>
      </c>
      <c r="AC11" s="87">
        <f>SUM(AC7:AC10)</f>
        <v>17.583892617449663</v>
      </c>
      <c r="AD11" s="87">
        <f>SUM(AD7:AD10)</f>
        <v>13.825503355704697</v>
      </c>
      <c r="AE11" s="88">
        <f>SUM(AE7:AE10)</f>
        <v>55.838926174496649</v>
      </c>
      <c r="AF11" s="76"/>
      <c r="AG11" s="87">
        <f>SUM(AG7:AG10)</f>
        <v>16.107382550335569</v>
      </c>
      <c r="AH11" s="87">
        <f>SUM(AH7:AH10)</f>
        <v>21.476510067114095</v>
      </c>
      <c r="AI11" s="87">
        <f>SUM(AI7:AI10)</f>
        <v>19.865771812080538</v>
      </c>
      <c r="AJ11" s="87">
        <f>SUM(AJ7:AJ10)</f>
        <v>6.9798657718120785</v>
      </c>
      <c r="AK11" s="88">
        <f>SUM(AK7:AK10)</f>
        <v>64.429530201342274</v>
      </c>
      <c r="AL11" s="76"/>
      <c r="AM11" s="87">
        <f>SUM(AM7:AM10)</f>
        <v>13.020134228187921</v>
      </c>
      <c r="AN11" s="87">
        <f>SUM(AN7:AN10)</f>
        <v>12.885906040268457</v>
      </c>
      <c r="AO11" s="87">
        <f>SUM(AO7:AO10)</f>
        <v>24.832214765100669</v>
      </c>
      <c r="AP11" s="87">
        <f>SUM(AP7:AP10)</f>
        <v>8.9932885906040276</v>
      </c>
      <c r="AQ11" s="88">
        <f>SUM(AQ7:AQ10)</f>
        <v>59.731543624161091</v>
      </c>
      <c r="AR11" s="76"/>
      <c r="AS11" s="87">
        <f>SUM(AS7:AS10)</f>
        <v>13.825503355704697</v>
      </c>
      <c r="AT11" s="87">
        <f>SUM(AT7:AT10)</f>
        <v>13.288590604026844</v>
      </c>
      <c r="AU11" s="87">
        <f>SUM(AU7:AU10)</f>
        <v>13.691275167785236</v>
      </c>
      <c r="AV11" s="87">
        <f>SUM(AV7:AV10)</f>
        <v>22.68456375838926</v>
      </c>
      <c r="AW11" s="88">
        <f>SUM(AW7:AW10)</f>
        <v>63.48993288590605</v>
      </c>
      <c r="AX11" s="76"/>
      <c r="AY11" s="87">
        <f>SUM(AY7:AY10)</f>
        <v>11.812080536912752</v>
      </c>
      <c r="AZ11" s="87">
        <f>SUM(AZ7:AZ10)</f>
        <v>20.000000000000004</v>
      </c>
      <c r="BA11" s="87">
        <f>SUM(BA7:BA10)</f>
        <v>14.093959731543626</v>
      </c>
      <c r="BB11" s="87">
        <f>SUM(BB7:BB10)</f>
        <v>22.281879194630868</v>
      </c>
      <c r="BC11" s="88">
        <f>SUM(BC7:BC10)</f>
        <v>68.187919463087241</v>
      </c>
      <c r="BD11" s="76"/>
      <c r="BE11" s="87">
        <f>SUM(BE7:BE10)</f>
        <v>21.610738255033556</v>
      </c>
      <c r="BF11" s="87">
        <f>SUM(BF7:BF10)</f>
        <v>11.543624161073827</v>
      </c>
      <c r="BG11" s="87">
        <f>SUM(BG7:BG10)</f>
        <v>13.020134228187919</v>
      </c>
      <c r="BH11" s="87">
        <f>SUM(BH7:BH10)</f>
        <v>21.610738255033556</v>
      </c>
      <c r="BI11" s="88">
        <f>SUM(BI7:BI10)</f>
        <v>67.785234899328842</v>
      </c>
      <c r="BJ11" s="76"/>
      <c r="BK11" s="87">
        <f>SUM(BK7:BK10)</f>
        <v>14.496644295302019</v>
      </c>
      <c r="BL11" s="87">
        <f>SUM(BL7:BL10)</f>
        <v>-1.8791946308724832</v>
      </c>
      <c r="BM11" s="87">
        <f>SUM(BM7:BM10)</f>
        <v>13.557046979865769</v>
      </c>
      <c r="BN11" s="87">
        <f>SUM(BN7:BN10)</f>
        <v>11.899999999999995</v>
      </c>
      <c r="BO11" s="88">
        <f>SUM(BO7:BO10)</f>
        <v>38.074496644295323</v>
      </c>
      <c r="BP11" s="76"/>
      <c r="BQ11" s="87">
        <f>SUM(BQ7:BQ10)</f>
        <v>16.200999999999997</v>
      </c>
      <c r="BR11" s="87">
        <f>SUM(BR7:BR10)</f>
        <v>30.299999999999997</v>
      </c>
      <c r="BS11" s="87">
        <f>SUM(BS7:BS10)</f>
        <v>-20.799999999999997</v>
      </c>
      <c r="BT11" s="87">
        <f>SUM(BT7:BT10)</f>
        <v>14.599999999999996</v>
      </c>
      <c r="BU11" s="88">
        <f>SUM(BU7:BU10)</f>
        <v>40.300999999999988</v>
      </c>
      <c r="BV11" s="76"/>
      <c r="BW11" s="87">
        <f>SUM(BW7:BW10)</f>
        <v>20.3</v>
      </c>
      <c r="BX11" s="87">
        <f>SUM(BX7:BX10)</f>
        <v>52.2</v>
      </c>
      <c r="BY11" s="87">
        <f>SUM(BY7:BY10)</f>
        <v>30.600000000000005</v>
      </c>
      <c r="BZ11" s="87">
        <f>SUM(BZ7:BZ10)</f>
        <v>-2.5999999999999903</v>
      </c>
      <c r="CA11" s="88">
        <f>SUM(CA7:CA10)</f>
        <v>100.50000000000003</v>
      </c>
      <c r="CC11" s="87">
        <f>SUM(CC7:CC10)</f>
        <v>-5.5999999999999979</v>
      </c>
      <c r="CD11" s="87">
        <f>SUM(CD7:CD10)</f>
        <v>4.3000000000000016</v>
      </c>
      <c r="CE11" s="87">
        <f>SUM(CE7:CE10)</f>
        <v>-2.9999999999999991</v>
      </c>
      <c r="CF11" s="87">
        <f>SUM(CF7:CF10)</f>
        <v>-33.20000000000001</v>
      </c>
      <c r="CG11" s="88">
        <f>SUM(CG7:CG10)</f>
        <v>-37.500000000000007</v>
      </c>
      <c r="CI11" s="87">
        <f>SUM(CI7:CI10)</f>
        <v>-22.6</v>
      </c>
      <c r="CJ11" s="87">
        <f>SUM(CJ7:CJ10)</f>
        <v>-13.299999999999997</v>
      </c>
      <c r="CK11" s="87">
        <f>SUM(CK7:CK10)</f>
        <v>-17</v>
      </c>
      <c r="CL11" s="87">
        <f>SUM(CL7:CL10)</f>
        <v>-30.1</v>
      </c>
      <c r="CM11" s="88">
        <f>SUM(CM7:CM10)</f>
        <v>-83</v>
      </c>
      <c r="CO11" s="87">
        <f>SUM(CO7:CO10)</f>
        <v>-15.200000000000001</v>
      </c>
      <c r="CP11" s="87"/>
      <c r="CQ11" s="87"/>
      <c r="CR11" s="87"/>
      <c r="CS11" s="88">
        <f>SUM(CS7:CS10)</f>
        <v>-15.200000000000001</v>
      </c>
    </row>
    <row r="12" spans="1:97" hidden="1" x14ac:dyDescent="0.2">
      <c r="A12" s="2" t="s">
        <v>45</v>
      </c>
      <c r="C12" s="31"/>
      <c r="D12" s="31"/>
      <c r="E12" s="31"/>
      <c r="F12" s="31"/>
      <c r="G12" s="75">
        <f>SUM(C12:F12)</f>
        <v>0</v>
      </c>
      <c r="H12" s="31"/>
      <c r="I12" s="31"/>
      <c r="J12" s="31"/>
      <c r="K12" s="31"/>
      <c r="L12" s="31"/>
      <c r="M12" s="75">
        <f>SUM(I12:L12)</f>
        <v>0</v>
      </c>
      <c r="N12" s="31"/>
      <c r="O12" s="31"/>
      <c r="P12" s="31"/>
      <c r="Q12" s="31"/>
      <c r="R12" s="31"/>
      <c r="S12" s="75">
        <f>SUM(O12:R12)</f>
        <v>0</v>
      </c>
      <c r="T12" s="31"/>
      <c r="U12" s="31"/>
      <c r="V12" s="31"/>
      <c r="W12" s="31"/>
      <c r="X12" s="31"/>
      <c r="Y12" s="75">
        <f>SUM(U12:X12)</f>
        <v>0</v>
      </c>
      <c r="Z12" s="31"/>
      <c r="AA12" s="31"/>
      <c r="AB12" s="31"/>
      <c r="AC12" s="31"/>
      <c r="AD12" s="31"/>
      <c r="AE12" s="75">
        <f>SUM(AA12:AD12)</f>
        <v>0</v>
      </c>
      <c r="AF12" s="31"/>
      <c r="AG12" s="31"/>
      <c r="AH12" s="31"/>
      <c r="AI12" s="31"/>
      <c r="AJ12" s="31"/>
      <c r="AK12" s="75">
        <f>SUM(AG12:AJ12)</f>
        <v>0</v>
      </c>
      <c r="AL12" s="31"/>
      <c r="AM12" s="31"/>
      <c r="AN12" s="31"/>
      <c r="AO12" s="31"/>
      <c r="AP12" s="31"/>
      <c r="AQ12" s="75">
        <f>SUM(AM12:AP12)</f>
        <v>0</v>
      </c>
      <c r="AR12" s="31"/>
      <c r="AS12" s="31"/>
      <c r="AT12" s="31"/>
      <c r="AU12" s="31"/>
      <c r="AV12" s="31"/>
      <c r="AW12" s="75">
        <f>SUM(AS12:AV12)</f>
        <v>0</v>
      </c>
      <c r="AX12" s="31"/>
      <c r="AY12" s="31"/>
      <c r="AZ12" s="31"/>
      <c r="BA12" s="31"/>
      <c r="BB12" s="31"/>
      <c r="BC12" s="75">
        <f>SUM(AY12:BB12)</f>
        <v>0</v>
      </c>
      <c r="BD12" s="31"/>
      <c r="BE12" s="31"/>
      <c r="BF12" s="31"/>
      <c r="BG12" s="31"/>
      <c r="BH12" s="31"/>
      <c r="BI12" s="75">
        <f>SUM(BE12:BH12)</f>
        <v>0</v>
      </c>
      <c r="BJ12" s="31"/>
      <c r="BK12" s="31"/>
      <c r="BL12" s="31"/>
      <c r="BM12" s="31"/>
      <c r="BN12" s="31"/>
      <c r="BO12" s="75">
        <f>SUM(BK12:BN12)</f>
        <v>0</v>
      </c>
      <c r="BP12" s="31"/>
      <c r="BQ12" s="31"/>
      <c r="BR12" s="31"/>
      <c r="BS12" s="31"/>
      <c r="BT12" s="31"/>
      <c r="BU12" s="75">
        <f>SUM(BQ12:BT12)</f>
        <v>0</v>
      </c>
      <c r="BV12" s="31"/>
      <c r="BW12" s="31"/>
      <c r="BX12" s="31"/>
      <c r="BY12" s="31"/>
      <c r="BZ12" s="31"/>
      <c r="CA12" s="75">
        <f>SUM(BW12:BZ12)</f>
        <v>0</v>
      </c>
      <c r="CC12" s="31"/>
      <c r="CD12" s="31"/>
      <c r="CE12" s="31"/>
      <c r="CF12" s="31"/>
      <c r="CG12" s="75">
        <f>SUM(CC12:CF12)</f>
        <v>0</v>
      </c>
      <c r="CI12" s="31"/>
      <c r="CJ12" s="31"/>
      <c r="CK12" s="31"/>
      <c r="CL12" s="31"/>
      <c r="CM12" s="75">
        <f>SUM(CI12:CL12)</f>
        <v>0</v>
      </c>
      <c r="CO12" s="31"/>
      <c r="CP12" s="31"/>
      <c r="CQ12" s="31"/>
      <c r="CR12" s="31"/>
      <c r="CS12" s="75">
        <f>SUM(CO12:CR12)</f>
        <v>0</v>
      </c>
    </row>
    <row r="13" spans="1:97" s="47" customFormat="1" x14ac:dyDescent="0.2">
      <c r="A13" s="47" t="s">
        <v>94</v>
      </c>
      <c r="C13" s="77"/>
      <c r="D13" s="77"/>
      <c r="E13" s="77"/>
      <c r="F13" s="77">
        <v>-0.80536912751677847</v>
      </c>
      <c r="G13" s="78">
        <f>SUM(C13:F13)</f>
        <v>-0.80536912751677847</v>
      </c>
      <c r="H13" s="77"/>
      <c r="I13" s="77"/>
      <c r="J13" s="77"/>
      <c r="K13" s="77"/>
      <c r="L13" s="77"/>
      <c r="M13" s="78">
        <f>SUM(I13:L13)</f>
        <v>0</v>
      </c>
      <c r="N13" s="77"/>
      <c r="O13" s="77"/>
      <c r="P13" s="77"/>
      <c r="Q13" s="77"/>
      <c r="R13" s="77"/>
      <c r="S13" s="78">
        <f>SUM(O13:R13)</f>
        <v>0</v>
      </c>
      <c r="T13" s="77"/>
      <c r="U13" s="77"/>
      <c r="V13" s="77"/>
      <c r="W13" s="77"/>
      <c r="X13" s="77"/>
      <c r="Y13" s="78">
        <f>SUM(U13:X13)</f>
        <v>0</v>
      </c>
      <c r="Z13" s="77"/>
      <c r="AA13" s="77"/>
      <c r="AB13" s="77"/>
      <c r="AC13" s="77"/>
      <c r="AD13" s="77"/>
      <c r="AE13" s="78">
        <f>SUM(AA13:AD13)</f>
        <v>0</v>
      </c>
      <c r="AF13" s="77"/>
      <c r="AG13" s="77">
        <v>0</v>
      </c>
      <c r="AH13" s="77">
        <v>0</v>
      </c>
      <c r="AI13" s="77">
        <v>0</v>
      </c>
      <c r="AJ13" s="77">
        <v>0</v>
      </c>
      <c r="AK13" s="78">
        <f>SUM(AG13:AJ13)</f>
        <v>0</v>
      </c>
      <c r="AL13" s="77"/>
      <c r="AM13" s="77">
        <v>0</v>
      </c>
      <c r="AN13" s="77">
        <v>0</v>
      </c>
      <c r="AO13" s="77">
        <v>0</v>
      </c>
      <c r="AP13" s="77">
        <v>0</v>
      </c>
      <c r="AQ13" s="78">
        <f>SUM(AM13:AP13)</f>
        <v>0</v>
      </c>
      <c r="AR13" s="77"/>
      <c r="AS13" s="77">
        <v>0</v>
      </c>
      <c r="AT13" s="77">
        <v>0</v>
      </c>
      <c r="AU13" s="77">
        <v>0</v>
      </c>
      <c r="AV13" s="77">
        <v>0</v>
      </c>
      <c r="AW13" s="78">
        <f>SUM(AS13:AV13)</f>
        <v>0</v>
      </c>
      <c r="AX13" s="77"/>
      <c r="AY13" s="77">
        <v>0</v>
      </c>
      <c r="AZ13" s="77">
        <v>0</v>
      </c>
      <c r="BA13" s="77">
        <v>0</v>
      </c>
      <c r="BB13" s="77">
        <v>0</v>
      </c>
      <c r="BC13" s="78">
        <f>SUM(AY13:BB13)</f>
        <v>0</v>
      </c>
      <c r="BD13" s="77"/>
      <c r="BE13" s="77">
        <v>0</v>
      </c>
      <c r="BF13" s="77">
        <v>0</v>
      </c>
      <c r="BG13" s="77">
        <v>0</v>
      </c>
      <c r="BH13" s="77">
        <v>0</v>
      </c>
      <c r="BI13" s="78">
        <f>SUM(BE13:BH13)</f>
        <v>0</v>
      </c>
      <c r="BJ13" s="77"/>
      <c r="BK13" s="77">
        <v>0</v>
      </c>
      <c r="BL13" s="77">
        <v>-3.7583892617449663</v>
      </c>
      <c r="BM13" s="77">
        <v>0</v>
      </c>
      <c r="BN13" s="77">
        <v>-0.1</v>
      </c>
      <c r="BO13" s="78">
        <f>SUM(BK13:BN13)</f>
        <v>-3.8583892617449664</v>
      </c>
      <c r="BP13" s="77"/>
      <c r="BQ13" s="77">
        <v>0</v>
      </c>
      <c r="BR13" s="77">
        <v>0</v>
      </c>
      <c r="BS13" s="77">
        <v>0</v>
      </c>
      <c r="BT13" s="77">
        <v>0</v>
      </c>
      <c r="BU13" s="78">
        <f>SUM(BQ13:BT13)</f>
        <v>0</v>
      </c>
      <c r="BV13" s="77"/>
      <c r="BW13" s="77">
        <v>0</v>
      </c>
      <c r="BX13" s="77">
        <v>0</v>
      </c>
      <c r="BY13" s="77">
        <v>0</v>
      </c>
      <c r="BZ13" s="77">
        <v>0</v>
      </c>
      <c r="CA13" s="78">
        <f>SUM(BW13:BZ13)</f>
        <v>0</v>
      </c>
      <c r="CC13" s="77">
        <v>0</v>
      </c>
      <c r="CD13" s="77">
        <v>0</v>
      </c>
      <c r="CE13" s="77">
        <v>0</v>
      </c>
      <c r="CF13" s="77">
        <v>0</v>
      </c>
      <c r="CG13" s="78">
        <f>SUM(CC13:CF13)</f>
        <v>0</v>
      </c>
      <c r="CI13" s="77">
        <v>0</v>
      </c>
      <c r="CJ13" s="77">
        <v>0</v>
      </c>
      <c r="CK13" s="77">
        <v>0</v>
      </c>
      <c r="CL13" s="77">
        <v>0</v>
      </c>
      <c r="CM13" s="78">
        <f>SUM(CI13:CL13)</f>
        <v>0</v>
      </c>
      <c r="CO13" s="77">
        <v>0</v>
      </c>
      <c r="CP13" s="77"/>
      <c r="CQ13" s="77"/>
      <c r="CR13" s="77"/>
      <c r="CS13" s="78">
        <f>SUM(CO13:CR13)</f>
        <v>0</v>
      </c>
    </row>
    <row r="14" spans="1:97" s="5" customFormat="1" ht="18.75" customHeight="1" x14ac:dyDescent="0.2">
      <c r="A14" s="5" t="s">
        <v>2</v>
      </c>
      <c r="C14" s="76">
        <f>SUM(C11:C13)</f>
        <v>9.932885906040271</v>
      </c>
      <c r="D14" s="76">
        <f>SUM(D11:D13)</f>
        <v>16.778523489932887</v>
      </c>
      <c r="E14" s="76">
        <f>SUM(E11:E13)</f>
        <v>18.657718120805367</v>
      </c>
      <c r="F14" s="76">
        <f>SUM(F11:F13)</f>
        <v>19.731543624161073</v>
      </c>
      <c r="G14" s="75">
        <f>SUM(G11:G13)</f>
        <v>65.100671140939582</v>
      </c>
      <c r="H14" s="76"/>
      <c r="I14" s="76">
        <f>SUM(I11:I13)</f>
        <v>16.644295302013422</v>
      </c>
      <c r="J14" s="76">
        <f>SUM(J11:J13)</f>
        <v>43.489932885906036</v>
      </c>
      <c r="K14" s="76">
        <f>SUM(K11:K13)</f>
        <v>27.114093959731544</v>
      </c>
      <c r="L14" s="76">
        <f>SUM(L11:L13)</f>
        <v>22.550335570469798</v>
      </c>
      <c r="M14" s="75">
        <f>SUM(M11:M13)</f>
        <v>109.79865771812081</v>
      </c>
      <c r="N14" s="76"/>
      <c r="O14" s="76">
        <f>SUM(O11:O13)</f>
        <v>25.637583892617453</v>
      </c>
      <c r="P14" s="76">
        <f>SUM(P11:P13)</f>
        <v>44.429530201342281</v>
      </c>
      <c r="Q14" s="76">
        <f>SUM(Q11:Q13)</f>
        <v>33.288590604026844</v>
      </c>
      <c r="R14" s="76">
        <f>SUM(R11:R13)</f>
        <v>48.724832214765101</v>
      </c>
      <c r="S14" s="75">
        <f>SUM(S11:S13)</f>
        <v>152.08053691275168</v>
      </c>
      <c r="T14" s="76"/>
      <c r="U14" s="76">
        <f>SUM(U11:U13)</f>
        <v>30.33557046979865</v>
      </c>
      <c r="V14" s="76">
        <f>SUM(V11:V13)</f>
        <v>50.604026845637584</v>
      </c>
      <c r="W14" s="76">
        <f>SUM(W11:W13)</f>
        <v>32.348993288590606</v>
      </c>
      <c r="X14" s="76">
        <f>SUM(X11:X13)</f>
        <v>-3.4899328859060388</v>
      </c>
      <c r="Y14" s="75">
        <f>SUM(Y11:Y13)</f>
        <v>109.79865771812081</v>
      </c>
      <c r="Z14" s="76"/>
      <c r="AA14" s="76">
        <f>SUM(AA11:AA13)</f>
        <v>4.8322147651006704</v>
      </c>
      <c r="AB14" s="76">
        <f>SUM(AB11:AB13)</f>
        <v>19.597315436241612</v>
      </c>
      <c r="AC14" s="76">
        <f>SUM(AC11:AC13)</f>
        <v>17.583892617449663</v>
      </c>
      <c r="AD14" s="76">
        <f>SUM(AD11:AD13)</f>
        <v>13.825503355704697</v>
      </c>
      <c r="AE14" s="75">
        <f>SUM(AE11:AE13)</f>
        <v>55.838926174496649</v>
      </c>
      <c r="AF14" s="76"/>
      <c r="AG14" s="76">
        <f>SUM(AG11:AG13)</f>
        <v>16.107382550335569</v>
      </c>
      <c r="AH14" s="76">
        <f>SUM(AH11:AH13)</f>
        <v>21.476510067114095</v>
      </c>
      <c r="AI14" s="76">
        <f>SUM(AI11:AI13)</f>
        <v>19.865771812080538</v>
      </c>
      <c r="AJ14" s="76">
        <f>SUM(AJ11:AJ13)</f>
        <v>6.9798657718120785</v>
      </c>
      <c r="AK14" s="75">
        <f>SUM(AK11:AK13)</f>
        <v>64.429530201342274</v>
      </c>
      <c r="AL14" s="76"/>
      <c r="AM14" s="76">
        <f>SUM(AM11:AM13)</f>
        <v>13.020134228187921</v>
      </c>
      <c r="AN14" s="76">
        <f>SUM(AN11:AN13)</f>
        <v>12.885906040268457</v>
      </c>
      <c r="AO14" s="76">
        <f>SUM(AO11:AO13)</f>
        <v>24.832214765100669</v>
      </c>
      <c r="AP14" s="76">
        <f>SUM(AP11:AP13)</f>
        <v>8.9932885906040276</v>
      </c>
      <c r="AQ14" s="75">
        <f>SUM(AQ11:AQ13)</f>
        <v>59.731543624161091</v>
      </c>
      <c r="AR14" s="76"/>
      <c r="AS14" s="76">
        <f>SUM(AS11:AS13)</f>
        <v>13.825503355704697</v>
      </c>
      <c r="AT14" s="76">
        <f>SUM(AT11:AT13)</f>
        <v>13.288590604026844</v>
      </c>
      <c r="AU14" s="76">
        <f>SUM(AU11:AU13)</f>
        <v>13.691275167785236</v>
      </c>
      <c r="AV14" s="76">
        <f>SUM(AV11:AV13)</f>
        <v>22.68456375838926</v>
      </c>
      <c r="AW14" s="75">
        <f>SUM(AW11:AW13)</f>
        <v>63.48993288590605</v>
      </c>
      <c r="AX14" s="76"/>
      <c r="AY14" s="76">
        <f>SUM(AY11:AY13)</f>
        <v>11.812080536912752</v>
      </c>
      <c r="AZ14" s="76">
        <f>SUM(AZ11:AZ13)</f>
        <v>20.000000000000004</v>
      </c>
      <c r="BA14" s="76">
        <f>SUM(BA11:BA13)</f>
        <v>14.093959731543626</v>
      </c>
      <c r="BB14" s="76">
        <f>SUM(BB11:BB13)</f>
        <v>22.281879194630868</v>
      </c>
      <c r="BC14" s="75">
        <f>SUM(BC11:BC13)</f>
        <v>68.187919463087241</v>
      </c>
      <c r="BD14" s="76"/>
      <c r="BE14" s="76">
        <f>SUM(BE11:BE13)</f>
        <v>21.610738255033556</v>
      </c>
      <c r="BF14" s="76">
        <f>SUM(BF11:BF13)</f>
        <v>11.543624161073827</v>
      </c>
      <c r="BG14" s="76">
        <f>SUM(BG11:BG13)</f>
        <v>13.020134228187919</v>
      </c>
      <c r="BH14" s="76">
        <f>SUM(BH11:BH13)</f>
        <v>21.610738255033556</v>
      </c>
      <c r="BI14" s="75">
        <f>SUM(BI11:BI13)</f>
        <v>67.785234899328842</v>
      </c>
      <c r="BJ14" s="76"/>
      <c r="BK14" s="76">
        <f>SUM(BK11:BK13)</f>
        <v>14.496644295302019</v>
      </c>
      <c r="BL14" s="76">
        <f>SUM(BL11:BL13)</f>
        <v>-5.6375838926174495</v>
      </c>
      <c r="BM14" s="76">
        <f>SUM(BM11:BM13)</f>
        <v>13.557046979865769</v>
      </c>
      <c r="BN14" s="76">
        <f>SUM(BN11:BN13)</f>
        <v>11.799999999999995</v>
      </c>
      <c r="BO14" s="75">
        <f>SUM(BO11:BO13)</f>
        <v>34.216107382550355</v>
      </c>
      <c r="BP14" s="76"/>
      <c r="BQ14" s="76">
        <f>SUM(BQ11:BQ13)</f>
        <v>16.200999999999997</v>
      </c>
      <c r="BR14" s="76">
        <f>SUM(BR11:BR13)</f>
        <v>30.299999999999997</v>
      </c>
      <c r="BS14" s="76">
        <f>SUM(BS11:BS13)</f>
        <v>-20.799999999999997</v>
      </c>
      <c r="BT14" s="76">
        <f>SUM(BT11:BT13)</f>
        <v>14.599999999999996</v>
      </c>
      <c r="BU14" s="75">
        <f>SUM(BU11:BU13)</f>
        <v>40.300999999999988</v>
      </c>
      <c r="BV14" s="76"/>
      <c r="BW14" s="76">
        <f>SUM(BW11:BW13)</f>
        <v>20.3</v>
      </c>
      <c r="BX14" s="76">
        <f>SUM(BX11:BX13)</f>
        <v>52.2</v>
      </c>
      <c r="BY14" s="76">
        <f>SUM(BY11:BY13)</f>
        <v>30.600000000000005</v>
      </c>
      <c r="BZ14" s="76">
        <f>SUM(BZ11:BZ13)</f>
        <v>-2.5999999999999903</v>
      </c>
      <c r="CA14" s="75">
        <f>SUM(CA11:CA13)</f>
        <v>100.50000000000003</v>
      </c>
      <c r="CC14" s="76">
        <f>SUM(CC11:CC13)</f>
        <v>-5.5999999999999979</v>
      </c>
      <c r="CD14" s="76">
        <f>SUM(CD11:CD13)</f>
        <v>4.3000000000000016</v>
      </c>
      <c r="CE14" s="76">
        <f>SUM(CE11:CE13)</f>
        <v>-2.9999999999999991</v>
      </c>
      <c r="CF14" s="76">
        <f>SUM(CF11:CF13)</f>
        <v>-33.20000000000001</v>
      </c>
      <c r="CG14" s="75">
        <f>SUM(CG11:CG13)</f>
        <v>-37.500000000000007</v>
      </c>
      <c r="CI14" s="76">
        <f>SUM(CI11:CI13)</f>
        <v>-22.6</v>
      </c>
      <c r="CJ14" s="76">
        <f>SUM(CJ11:CJ13)</f>
        <v>-13.299999999999997</v>
      </c>
      <c r="CK14" s="76">
        <f>SUM(CK11:CK13)</f>
        <v>-17</v>
      </c>
      <c r="CL14" s="76">
        <f>SUM(CL11:CL13)</f>
        <v>-30.1</v>
      </c>
      <c r="CM14" s="75">
        <f>SUM(CM11:CM13)</f>
        <v>-83</v>
      </c>
      <c r="CO14" s="76">
        <f>SUM(CO11:CO13)</f>
        <v>-15.200000000000001</v>
      </c>
      <c r="CP14" s="76"/>
      <c r="CQ14" s="76"/>
      <c r="CR14" s="76"/>
      <c r="CS14" s="75">
        <f>SUM(CS11:CS13)</f>
        <v>-15.200000000000001</v>
      </c>
    </row>
    <row r="15" spans="1:97" s="47" customFormat="1" x14ac:dyDescent="0.2">
      <c r="A15" s="47" t="s">
        <v>4</v>
      </c>
      <c r="C15" s="77">
        <v>-2.0134228187919461</v>
      </c>
      <c r="D15" s="77">
        <v>0.13422818791946309</v>
      </c>
      <c r="E15" s="77">
        <v>-0.13422818791946309</v>
      </c>
      <c r="F15" s="77">
        <v>-0.93959731543624159</v>
      </c>
      <c r="G15" s="78">
        <f>SUM(C15:F15)</f>
        <v>-2.9530201342281877</v>
      </c>
      <c r="H15" s="77"/>
      <c r="I15" s="77">
        <v>-1.8791946308724832</v>
      </c>
      <c r="J15" s="77">
        <v>-1.6107382550335569</v>
      </c>
      <c r="K15" s="77">
        <v>-1.2080536912751678</v>
      </c>
      <c r="L15" s="77">
        <v>-1.8791946308724832</v>
      </c>
      <c r="M15" s="78">
        <f>SUM(I15:L15)</f>
        <v>-6.5771812080536911</v>
      </c>
      <c r="N15" s="77"/>
      <c r="O15" s="77">
        <v>-4.1610738255033555</v>
      </c>
      <c r="P15" s="77">
        <v>-3.087248322147651</v>
      </c>
      <c r="Q15" s="77">
        <v>-4.4295302013422821</v>
      </c>
      <c r="R15" s="77">
        <v>-7.7852348993288585</v>
      </c>
      <c r="S15" s="78">
        <f>SUM(O15:R15)</f>
        <v>-19.463087248322147</v>
      </c>
      <c r="T15" s="77"/>
      <c r="U15" s="77">
        <v>-5.6375838926174495</v>
      </c>
      <c r="V15" s="77">
        <v>-9.1275167785234892</v>
      </c>
      <c r="W15" s="77">
        <v>-7.2483221476510069</v>
      </c>
      <c r="X15" s="77">
        <v>-8.3221476510067109</v>
      </c>
      <c r="Y15" s="78">
        <f>SUM(U15:X15)</f>
        <v>-30.335570469798654</v>
      </c>
      <c r="Z15" s="77"/>
      <c r="AA15" s="77">
        <v>-4.6979865771812079</v>
      </c>
      <c r="AB15" s="77">
        <v>-3.4899328859060401</v>
      </c>
      <c r="AC15" s="77">
        <v>-3.2214765100671139</v>
      </c>
      <c r="AD15" s="77">
        <v>-5.3691275167785237</v>
      </c>
      <c r="AE15" s="78">
        <f>SUM(AA15:AD15)</f>
        <v>-16.778523489932883</v>
      </c>
      <c r="AF15" s="77"/>
      <c r="AG15" s="77">
        <v>-3.6241610738255035</v>
      </c>
      <c r="AH15" s="77">
        <v>-2.9530201342281877</v>
      </c>
      <c r="AI15" s="77">
        <v>-5.7718120805369129</v>
      </c>
      <c r="AJ15" s="77">
        <v>-5.7718120805369129</v>
      </c>
      <c r="AK15" s="78">
        <f>SUM(AG15:AJ15)</f>
        <v>-18.120805369127517</v>
      </c>
      <c r="AL15" s="77"/>
      <c r="AM15" s="77">
        <v>-5.7718120805369129</v>
      </c>
      <c r="AN15" s="77">
        <v>-8.1879194630872476</v>
      </c>
      <c r="AO15" s="77">
        <v>-14.228187919463087</v>
      </c>
      <c r="AP15" s="77">
        <v>-9.3959731543624159</v>
      </c>
      <c r="AQ15" s="78">
        <f>SUM(AM15:AP15)</f>
        <v>-37.583892617449663</v>
      </c>
      <c r="AR15" s="77"/>
      <c r="AS15" s="77">
        <v>-7.9194630872483218</v>
      </c>
      <c r="AT15" s="77">
        <v>-6.9798657718120802</v>
      </c>
      <c r="AU15" s="77">
        <v>-5.9060402684563753</v>
      </c>
      <c r="AV15" s="77">
        <v>-5.5033557046979862</v>
      </c>
      <c r="AW15" s="78">
        <f>SUM(AS15:AV15)</f>
        <v>-26.308724832214764</v>
      </c>
      <c r="AX15" s="77"/>
      <c r="AY15" s="77">
        <v>-6.4429530201342278</v>
      </c>
      <c r="AZ15" s="77">
        <v>-5.3691275167785237</v>
      </c>
      <c r="BA15" s="77">
        <v>-4.8322147651006713</v>
      </c>
      <c r="BB15" s="77">
        <v>-4.8322147651006713</v>
      </c>
      <c r="BC15" s="78">
        <f>SUM(AY15:BB15)</f>
        <v>-21.476510067114098</v>
      </c>
      <c r="BD15" s="77"/>
      <c r="BE15" s="77">
        <v>-3.3557046979865772</v>
      </c>
      <c r="BF15" s="77">
        <v>-3.6241610738255035</v>
      </c>
      <c r="BG15" s="77">
        <v>-2.8187919463087248</v>
      </c>
      <c r="BH15" s="77">
        <v>-3.4899328859060401</v>
      </c>
      <c r="BI15" s="78">
        <f>SUM(BE15:BH15)</f>
        <v>-13.288590604026846</v>
      </c>
      <c r="BJ15" s="77"/>
      <c r="BK15" s="77">
        <v>2.1476510067114094</v>
      </c>
      <c r="BL15" s="77">
        <v>-2.8187919463087248</v>
      </c>
      <c r="BM15" s="77">
        <v>-3.4899328859060401</v>
      </c>
      <c r="BN15" s="77">
        <v>-1.94</v>
      </c>
      <c r="BO15" s="78">
        <f>SUM(BK15:BN15)</f>
        <v>-6.1010738255033559</v>
      </c>
      <c r="BP15" s="77"/>
      <c r="BQ15" s="77">
        <v>-1.2</v>
      </c>
      <c r="BR15" s="77">
        <v>-2.9</v>
      </c>
      <c r="BS15" s="77">
        <v>-2.1</v>
      </c>
      <c r="BT15" s="77">
        <v>0.9</v>
      </c>
      <c r="BU15" s="78">
        <f>SUM(BQ15:BT15)</f>
        <v>-5.2999999999999989</v>
      </c>
      <c r="BV15" s="77"/>
      <c r="BW15" s="77">
        <v>-4.4000000000000004</v>
      </c>
      <c r="BX15" s="77">
        <v>-7.9</v>
      </c>
      <c r="BY15" s="77">
        <v>-5.3</v>
      </c>
      <c r="BZ15" s="77">
        <f>17.6-20.9</f>
        <v>-3.2999999999999972</v>
      </c>
      <c r="CA15" s="78">
        <f>SUM(BW15:BZ15)</f>
        <v>-20.9</v>
      </c>
      <c r="CC15" s="77">
        <v>-2.1</v>
      </c>
      <c r="CD15" s="77">
        <v>-1.5</v>
      </c>
      <c r="CE15" s="77">
        <v>-2.6</v>
      </c>
      <c r="CF15" s="77">
        <f>-8+6.2</f>
        <v>-1.7999999999999998</v>
      </c>
      <c r="CG15" s="78">
        <f>SUM(CC15:CF15)</f>
        <v>-8</v>
      </c>
      <c r="CI15" s="77">
        <v>-2.1</v>
      </c>
      <c r="CJ15" s="77">
        <v>-1.7</v>
      </c>
      <c r="CK15" s="77">
        <v>-2.4</v>
      </c>
      <c r="CL15" s="77">
        <v>-6.1</v>
      </c>
      <c r="CM15" s="78">
        <f>SUM(CI15:CL15)</f>
        <v>-12.299999999999999</v>
      </c>
      <c r="CO15" s="77">
        <v>-7.1</v>
      </c>
      <c r="CP15" s="77"/>
      <c r="CQ15" s="77"/>
      <c r="CR15" s="77"/>
      <c r="CS15" s="78">
        <f>SUM(CO15:CR15)</f>
        <v>-7.1</v>
      </c>
    </row>
    <row r="16" spans="1:97" s="5" customFormat="1" ht="18.75" customHeight="1" x14ac:dyDescent="0.2">
      <c r="A16" s="1" t="s">
        <v>5</v>
      </c>
      <c r="C16" s="76">
        <f>SUM(C14:C15)</f>
        <v>7.9194630872483245</v>
      </c>
      <c r="D16" s="76">
        <f>SUM(D14:D15)</f>
        <v>16.912751677852349</v>
      </c>
      <c r="E16" s="76">
        <f>SUM(E14:E15)</f>
        <v>18.523489932885905</v>
      </c>
      <c r="F16" s="76">
        <f>SUM(F14:F15)</f>
        <v>18.791946308724832</v>
      </c>
      <c r="G16" s="75">
        <f>SUM(G14:G15)</f>
        <v>62.147651006711392</v>
      </c>
      <c r="H16" s="76"/>
      <c r="I16" s="76">
        <f>SUM(I14:I15)</f>
        <v>14.765100671140939</v>
      </c>
      <c r="J16" s="76">
        <f>SUM(J14:J15)</f>
        <v>41.879194630872476</v>
      </c>
      <c r="K16" s="76">
        <f>SUM(K14:K15)</f>
        <v>25.906040268456376</v>
      </c>
      <c r="L16" s="76">
        <f>SUM(L14:L15)</f>
        <v>20.671140939597315</v>
      </c>
      <c r="M16" s="75">
        <f>SUM(M14:M15)</f>
        <v>103.22147651006712</v>
      </c>
      <c r="N16" s="76"/>
      <c r="O16" s="76">
        <f>SUM(O14:O15)</f>
        <v>21.476510067114098</v>
      </c>
      <c r="P16" s="76">
        <f>SUM(P14:P15)</f>
        <v>41.34228187919463</v>
      </c>
      <c r="Q16" s="76">
        <f>SUM(Q14:Q15)</f>
        <v>28.859060402684563</v>
      </c>
      <c r="R16" s="76">
        <f>SUM(R14:R15)</f>
        <v>40.939597315436245</v>
      </c>
      <c r="S16" s="75">
        <f>SUM(S14:S15)</f>
        <v>132.61744966442953</v>
      </c>
      <c r="T16" s="76"/>
      <c r="U16" s="76">
        <f>SUM(U14:U15)</f>
        <v>24.697986577181201</v>
      </c>
      <c r="V16" s="76">
        <f>SUM(V14:V15)</f>
        <v>41.476510067114091</v>
      </c>
      <c r="W16" s="76">
        <f>SUM(W14:W15)</f>
        <v>25.1006711409396</v>
      </c>
      <c r="X16" s="76">
        <f>SUM(X14:X15)</f>
        <v>-11.812080536912749</v>
      </c>
      <c r="Y16" s="75">
        <f>SUM(Y14:Y15)</f>
        <v>79.463087248322154</v>
      </c>
      <c r="Z16" s="76"/>
      <c r="AA16" s="76">
        <f>SUM(AA14:AA15)</f>
        <v>0.13422818791946245</v>
      </c>
      <c r="AB16" s="76">
        <f>SUM(AB14:AB15)</f>
        <v>16.107382550335572</v>
      </c>
      <c r="AC16" s="76">
        <f>SUM(AC14:AC15)</f>
        <v>14.36241610738255</v>
      </c>
      <c r="AD16" s="76">
        <f>SUM(AD14:AD15)</f>
        <v>8.4563758389261743</v>
      </c>
      <c r="AE16" s="75">
        <f>SUM(AE14:AE15)</f>
        <v>39.060402684563769</v>
      </c>
      <c r="AF16" s="76"/>
      <c r="AG16" s="76">
        <f>SUM(AG14:AG15)</f>
        <v>12.483221476510066</v>
      </c>
      <c r="AH16" s="76">
        <f>SUM(AH14:AH15)</f>
        <v>18.523489932885909</v>
      </c>
      <c r="AI16" s="76">
        <f>SUM(AI14:AI15)</f>
        <v>14.093959731543626</v>
      </c>
      <c r="AJ16" s="76">
        <f>SUM(AJ14:AJ15)</f>
        <v>1.2080536912751656</v>
      </c>
      <c r="AK16" s="75">
        <f>SUM(AK14:AK15)</f>
        <v>46.308724832214757</v>
      </c>
      <c r="AL16" s="76"/>
      <c r="AM16" s="76">
        <f>SUM(AM14:AM15)</f>
        <v>7.2483221476510078</v>
      </c>
      <c r="AN16" s="76">
        <f>SUM(AN14:AN15)</f>
        <v>4.6979865771812097</v>
      </c>
      <c r="AO16" s="76">
        <f>SUM(AO14:AO15)</f>
        <v>10.604026845637582</v>
      </c>
      <c r="AP16" s="76">
        <f>SUM(AP14:AP15)</f>
        <v>-0.40268456375838824</v>
      </c>
      <c r="AQ16" s="75">
        <f>SUM(AQ14:AQ15)</f>
        <v>22.147651006711428</v>
      </c>
      <c r="AR16" s="76"/>
      <c r="AS16" s="76">
        <f>SUM(AS14:AS15)</f>
        <v>5.9060402684563753</v>
      </c>
      <c r="AT16" s="76">
        <f>SUM(AT14:AT15)</f>
        <v>6.3087248322147635</v>
      </c>
      <c r="AU16" s="76">
        <f>SUM(AU14:AU15)</f>
        <v>7.7852348993288603</v>
      </c>
      <c r="AV16" s="76">
        <f>SUM(AV14:AV15)</f>
        <v>17.181208053691272</v>
      </c>
      <c r="AW16" s="75">
        <f>SUM(AW14:AW15)</f>
        <v>37.181208053691286</v>
      </c>
      <c r="AX16" s="76"/>
      <c r="AY16" s="76">
        <f>SUM(AY14:AY15)</f>
        <v>5.3691275167785246</v>
      </c>
      <c r="AZ16" s="76">
        <f>SUM(AZ14:AZ15)</f>
        <v>14.630872483221481</v>
      </c>
      <c r="BA16" s="76">
        <f>SUM(BA14:BA15)</f>
        <v>9.2617449664429543</v>
      </c>
      <c r="BB16" s="76">
        <f>SUM(BB14:BB15)</f>
        <v>17.449664429530195</v>
      </c>
      <c r="BC16" s="75">
        <f>SUM(BC14:BC15)</f>
        <v>46.711409395973142</v>
      </c>
      <c r="BD16" s="76"/>
      <c r="BE16" s="76">
        <f>SUM(BE14:BE15)</f>
        <v>18.255033557046978</v>
      </c>
      <c r="BF16" s="76">
        <f>SUM(BF14:BF15)</f>
        <v>7.9194630872483245</v>
      </c>
      <c r="BG16" s="76">
        <f>SUM(BG14:BG15)</f>
        <v>10.201342281879194</v>
      </c>
      <c r="BH16" s="76">
        <f>SUM(BH14:BH15)</f>
        <v>18.120805369127517</v>
      </c>
      <c r="BI16" s="75">
        <f>SUM(BI14:BI15)</f>
        <v>54.496644295301998</v>
      </c>
      <c r="BJ16" s="76"/>
      <c r="BK16" s="76">
        <f>SUM(BK14:BK15)</f>
        <v>16.644295302013429</v>
      </c>
      <c r="BL16" s="76">
        <f>SUM(BL14:BL15)</f>
        <v>-8.4563758389261743</v>
      </c>
      <c r="BM16" s="76">
        <f>SUM(BM14:BM15)</f>
        <v>10.067114093959729</v>
      </c>
      <c r="BN16" s="76">
        <f>SUM(BN14:BN15)</f>
        <v>9.8599999999999959</v>
      </c>
      <c r="BO16" s="75">
        <f>SUM(BO14:BO15)</f>
        <v>28.115033557046999</v>
      </c>
      <c r="BP16" s="76"/>
      <c r="BQ16" s="76">
        <f>SUM(BQ14:BQ15)</f>
        <v>15.000999999999998</v>
      </c>
      <c r="BR16" s="76">
        <f>SUM(BR14:BR15)</f>
        <v>27.4</v>
      </c>
      <c r="BS16" s="76">
        <f>SUM(BS14:BS15)</f>
        <v>-22.9</v>
      </c>
      <c r="BT16" s="76">
        <f>SUM(BT14:BT15)</f>
        <v>15.499999999999996</v>
      </c>
      <c r="BU16" s="75">
        <f>SUM(BU14:BU15)</f>
        <v>35.000999999999991</v>
      </c>
      <c r="BV16" s="76"/>
      <c r="BW16" s="76">
        <f>SUM(BW14:BW15)</f>
        <v>15.9</v>
      </c>
      <c r="BX16" s="76">
        <f>SUM(BX14:BX15)</f>
        <v>44.300000000000004</v>
      </c>
      <c r="BY16" s="76">
        <f>SUM(BY14:BY15)</f>
        <v>25.300000000000004</v>
      </c>
      <c r="BZ16" s="76">
        <f>SUM(BZ14:BZ15)</f>
        <v>-5.8999999999999879</v>
      </c>
      <c r="CA16" s="75">
        <f>SUM(CA14:CA15)</f>
        <v>79.600000000000023</v>
      </c>
      <c r="CC16" s="76">
        <f>SUM(CC14:CC15)</f>
        <v>-7.6999999999999975</v>
      </c>
      <c r="CD16" s="76">
        <f>SUM(CD14:CD15)</f>
        <v>2.8000000000000016</v>
      </c>
      <c r="CE16" s="76">
        <f>SUM(CE14:CE15)</f>
        <v>-5.6</v>
      </c>
      <c r="CF16" s="76">
        <f>SUM(CF14:CF15)</f>
        <v>-35.000000000000007</v>
      </c>
      <c r="CG16" s="75">
        <f>SUM(CG14:CG15)</f>
        <v>-45.500000000000007</v>
      </c>
      <c r="CI16" s="76">
        <f>SUM(CI14:CI15)</f>
        <v>-24.700000000000003</v>
      </c>
      <c r="CJ16" s="76">
        <f>SUM(CJ14:CJ15)</f>
        <v>-14.999999999999996</v>
      </c>
      <c r="CK16" s="76">
        <f>SUM(CK14:CK15)</f>
        <v>-19.399999999999999</v>
      </c>
      <c r="CL16" s="76">
        <f>SUM(CL14:CL15)</f>
        <v>-36.200000000000003</v>
      </c>
      <c r="CM16" s="75">
        <f>SUM(CM14:CM15)</f>
        <v>-95.3</v>
      </c>
      <c r="CO16" s="76">
        <f>SUM(CO14:CO15)</f>
        <v>-22.3</v>
      </c>
      <c r="CP16" s="76"/>
      <c r="CQ16" s="76"/>
      <c r="CR16" s="76"/>
      <c r="CS16" s="75">
        <f>SUM(CS14:CS15)</f>
        <v>-22.3</v>
      </c>
    </row>
    <row r="17" spans="1:97" s="5" customFormat="1" ht="12.75" customHeight="1" x14ac:dyDescent="0.2">
      <c r="A17" s="2" t="s">
        <v>55</v>
      </c>
      <c r="C17" s="76">
        <v>0.13422818791946309</v>
      </c>
      <c r="D17" s="76">
        <v>0</v>
      </c>
      <c r="E17" s="76">
        <v>0</v>
      </c>
      <c r="F17" s="76">
        <v>0</v>
      </c>
      <c r="G17" s="75">
        <f>SUM(C17:F17)</f>
        <v>0.13422818791946309</v>
      </c>
      <c r="H17" s="76"/>
      <c r="I17" s="76">
        <v>0</v>
      </c>
      <c r="J17" s="76">
        <v>0</v>
      </c>
      <c r="K17" s="76"/>
      <c r="L17" s="76"/>
      <c r="M17" s="75">
        <f>SUM(I17:L17)</f>
        <v>0</v>
      </c>
      <c r="N17" s="76"/>
      <c r="O17" s="76">
        <v>0</v>
      </c>
      <c r="P17" s="76" t="s">
        <v>49</v>
      </c>
      <c r="Q17" s="76"/>
      <c r="R17" s="76"/>
      <c r="S17" s="75">
        <f>SUM(O17:R17)</f>
        <v>0</v>
      </c>
      <c r="T17" s="76"/>
      <c r="U17" s="76">
        <v>0</v>
      </c>
      <c r="V17" s="76"/>
      <c r="W17" s="76"/>
      <c r="X17" s="76"/>
      <c r="Y17" s="75">
        <f>SUM(U17:X17)</f>
        <v>0</v>
      </c>
      <c r="Z17" s="76"/>
      <c r="AA17" s="76">
        <v>0</v>
      </c>
      <c r="AB17" s="76"/>
      <c r="AC17" s="76"/>
      <c r="AD17" s="76"/>
      <c r="AE17" s="75">
        <f>SUM(AA17:AD17)</f>
        <v>0</v>
      </c>
      <c r="AF17" s="76"/>
      <c r="AG17" s="31">
        <v>0</v>
      </c>
      <c r="AH17" s="31">
        <v>0</v>
      </c>
      <c r="AI17" s="31">
        <v>0</v>
      </c>
      <c r="AJ17" s="31">
        <v>0</v>
      </c>
      <c r="AK17" s="84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84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84">
        <f>SUM(AS17:AV17)</f>
        <v>189.26174496644293</v>
      </c>
      <c r="AX17" s="76"/>
      <c r="AY17" s="31"/>
      <c r="AZ17" s="31"/>
      <c r="BA17" s="31"/>
      <c r="BB17" s="31"/>
      <c r="BC17" s="84">
        <f>SUM(AY17:BB17)</f>
        <v>0</v>
      </c>
      <c r="BD17" s="76"/>
      <c r="BE17" s="31"/>
      <c r="BF17" s="31"/>
      <c r="BG17" s="31"/>
      <c r="BH17" s="31"/>
      <c r="BI17" s="84">
        <f>SUM(BE17:BH17)</f>
        <v>0</v>
      </c>
      <c r="BJ17" s="76"/>
      <c r="BK17" s="31"/>
      <c r="BL17" s="31"/>
      <c r="BM17" s="31"/>
      <c r="BN17" s="31"/>
      <c r="BO17" s="84">
        <f>SUM(BK17:BN17)</f>
        <v>0</v>
      </c>
      <c r="BP17" s="76"/>
      <c r="BQ17" s="31"/>
      <c r="BR17" s="31"/>
      <c r="BS17" s="31"/>
      <c r="BT17" s="31"/>
      <c r="BU17" s="84">
        <f>SUM(BQ17:BT17)</f>
        <v>0</v>
      </c>
      <c r="BV17" s="76"/>
      <c r="BW17" s="31"/>
      <c r="BX17" s="31"/>
      <c r="BY17" s="31"/>
      <c r="BZ17" s="31">
        <v>876.8</v>
      </c>
      <c r="CA17" s="84">
        <f>SUM(BW17:BZ17)</f>
        <v>876.8</v>
      </c>
      <c r="CC17" s="31"/>
      <c r="CD17" s="31"/>
      <c r="CE17" s="31"/>
      <c r="CF17" s="31"/>
      <c r="CG17" s="84">
        <f>SUM(CC17:CF17)</f>
        <v>0</v>
      </c>
      <c r="CI17" s="31"/>
      <c r="CJ17" s="31"/>
      <c r="CK17" s="31"/>
      <c r="CL17" s="31"/>
      <c r="CM17" s="84">
        <f>SUM(CI17:CL17)</f>
        <v>0</v>
      </c>
      <c r="CO17" s="31"/>
      <c r="CP17" s="31"/>
      <c r="CQ17" s="31"/>
      <c r="CR17" s="31"/>
      <c r="CS17" s="84">
        <f>SUM(CO17:CR17)</f>
        <v>0</v>
      </c>
    </row>
    <row r="18" spans="1:97" s="47" customFormat="1" x14ac:dyDescent="0.2">
      <c r="A18" s="47" t="s">
        <v>6</v>
      </c>
      <c r="C18" s="77">
        <v>-0.93959731543624159</v>
      </c>
      <c r="D18" s="77">
        <v>-2.8187919463087248</v>
      </c>
      <c r="E18" s="77">
        <v>-2.8187919463087248</v>
      </c>
      <c r="F18" s="77">
        <v>-7.2483221476510069</v>
      </c>
      <c r="G18" s="78">
        <f>SUM(C18:F18)</f>
        <v>-13.825503355704697</v>
      </c>
      <c r="H18" s="77"/>
      <c r="I18" s="77">
        <v>-3.3557046979865772</v>
      </c>
      <c r="J18" s="77">
        <v>-11.275167785234899</v>
      </c>
      <c r="K18" s="77">
        <v>-6.3087248322147653</v>
      </c>
      <c r="L18" s="77">
        <v>-1.3422818791946309</v>
      </c>
      <c r="M18" s="78">
        <f>SUM(I18:L18)</f>
        <v>-22.281879194630871</v>
      </c>
      <c r="N18" s="77"/>
      <c r="O18" s="77">
        <v>-5.3691275167785237</v>
      </c>
      <c r="P18" s="77">
        <v>-11.275167785234899</v>
      </c>
      <c r="Q18" s="77">
        <v>-6.4429530201342278</v>
      </c>
      <c r="R18" s="77">
        <v>0.53691275167785235</v>
      </c>
      <c r="S18" s="78">
        <f>SUM(O18:R18)</f>
        <v>-22.550335570469798</v>
      </c>
      <c r="T18" s="77"/>
      <c r="U18" s="77">
        <v>-6.174496644295302</v>
      </c>
      <c r="V18" s="77">
        <v>-10.335570469798657</v>
      </c>
      <c r="W18" s="77">
        <v>-6.4429530201342278</v>
      </c>
      <c r="X18" s="77">
        <v>-2.2818791946308723</v>
      </c>
      <c r="Y18" s="78">
        <f>SUM(U18:X18)</f>
        <v>-25.234899328859061</v>
      </c>
      <c r="Z18" s="77"/>
      <c r="AA18" s="77">
        <v>-0.13422818791946309</v>
      </c>
      <c r="AB18" s="77">
        <v>-3.4899328859060401</v>
      </c>
      <c r="AC18" s="77">
        <v>-4.8322147651006713</v>
      </c>
      <c r="AD18" s="77">
        <v>1.3422818791946309</v>
      </c>
      <c r="AE18" s="78">
        <f>SUM(AA18:AD18)</f>
        <v>-7.1140939597315436</v>
      </c>
      <c r="AF18" s="77"/>
      <c r="AG18" s="77">
        <v>-3.7583892617449663</v>
      </c>
      <c r="AH18" s="77">
        <v>-5.5033557046979862</v>
      </c>
      <c r="AI18" s="77">
        <v>-3.3557046979865772</v>
      </c>
      <c r="AJ18" s="77">
        <v>2.5503355704697985</v>
      </c>
      <c r="AK18" s="78">
        <f>SUM(AG18:AJ18)</f>
        <v>-10.067114093959731</v>
      </c>
      <c r="AL18" s="77"/>
      <c r="AM18" s="77">
        <v>-0.40268456375838924</v>
      </c>
      <c r="AN18" s="77">
        <v>-0.67114093959731547</v>
      </c>
      <c r="AO18" s="77">
        <v>-4.8322147651006713</v>
      </c>
      <c r="AP18" s="77">
        <v>0.80536912751677847</v>
      </c>
      <c r="AQ18" s="78">
        <f>SUM(AM18:AP18)</f>
        <v>-5.1006711409395979</v>
      </c>
      <c r="AR18" s="77"/>
      <c r="AS18" s="77">
        <v>-1.7449664429530201</v>
      </c>
      <c r="AT18" s="77">
        <v>-1.6107382550335569</v>
      </c>
      <c r="AU18" s="77">
        <v>-2.8187919463087248</v>
      </c>
      <c r="AV18" s="77">
        <v>-4.6979865771812079</v>
      </c>
      <c r="AW18" s="78">
        <f>SUM(AS18:AV18)</f>
        <v>-10.872483221476511</v>
      </c>
      <c r="AX18" s="77"/>
      <c r="AY18" s="77">
        <v>-2.0134228187919461</v>
      </c>
      <c r="AZ18" s="77">
        <v>-4.4295302013422821</v>
      </c>
      <c r="BA18" s="77">
        <v>-2.1476510067114094</v>
      </c>
      <c r="BB18" s="77">
        <v>-4.1610738255033555</v>
      </c>
      <c r="BC18" s="78">
        <f>SUM(AY18:BB18)</f>
        <v>-12.751677852348994</v>
      </c>
      <c r="BD18" s="77"/>
      <c r="BE18" s="77">
        <v>-6.5771812080536911</v>
      </c>
      <c r="BF18" s="77">
        <v>-1.6107382550335569</v>
      </c>
      <c r="BG18" s="77">
        <v>-2.1476510067114094</v>
      </c>
      <c r="BH18" s="77">
        <v>-6.5771812080536911</v>
      </c>
      <c r="BI18" s="78">
        <f>SUM(BE18:BH18)</f>
        <v>-16.912751677852349</v>
      </c>
      <c r="BJ18" s="77"/>
      <c r="BK18" s="77">
        <v>-4.4295302013422821</v>
      </c>
      <c r="BL18" s="77">
        <v>-19.19463087248322</v>
      </c>
      <c r="BM18" s="77">
        <v>-0.40268456375838924</v>
      </c>
      <c r="BN18" s="77">
        <v>-2.9</v>
      </c>
      <c r="BO18" s="78">
        <f>SUM(BK18:BN18)</f>
        <v>-26.926845637583888</v>
      </c>
      <c r="BP18" s="77"/>
      <c r="BQ18" s="77">
        <v>-4.4000000000000004</v>
      </c>
      <c r="BR18" s="77">
        <v>-7.2</v>
      </c>
      <c r="BS18" s="77">
        <v>-1.9</v>
      </c>
      <c r="BT18" s="77">
        <v>-9.4</v>
      </c>
      <c r="BU18" s="78">
        <f>SUM(BQ18:BT18)</f>
        <v>-22.900000000000002</v>
      </c>
      <c r="BV18" s="77"/>
      <c r="BW18" s="77">
        <v>-3.3</v>
      </c>
      <c r="BX18" s="77">
        <v>-11.8</v>
      </c>
      <c r="BY18" s="77">
        <v>-7.7</v>
      </c>
      <c r="BZ18" s="77">
        <f>22.8-27.6</f>
        <v>-4.8000000000000007</v>
      </c>
      <c r="CA18" s="78">
        <f>SUM(BW18:BZ18)</f>
        <v>-27.6</v>
      </c>
      <c r="CC18" s="77">
        <v>2.7</v>
      </c>
      <c r="CD18" s="77">
        <v>-1.1000000000000001</v>
      </c>
      <c r="CE18" s="77">
        <v>2.8</v>
      </c>
      <c r="CF18" s="77">
        <f>-0.8-4.4</f>
        <v>-5.2</v>
      </c>
      <c r="CG18" s="78">
        <f>SUM(CC18:CF18)</f>
        <v>-0.79999999999999982</v>
      </c>
      <c r="CI18" s="77">
        <v>5.7</v>
      </c>
      <c r="CJ18" s="77">
        <v>-0.1</v>
      </c>
      <c r="CK18" s="77">
        <v>0.2</v>
      </c>
      <c r="CL18" s="77">
        <v>13.5</v>
      </c>
      <c r="CM18" s="78">
        <f>SUM(CI18:CL18)</f>
        <v>19.3</v>
      </c>
      <c r="CO18" s="77">
        <v>1.7</v>
      </c>
      <c r="CP18" s="77"/>
      <c r="CQ18" s="77"/>
      <c r="CR18" s="77"/>
      <c r="CS18" s="78">
        <f>SUM(CO18:CR18)</f>
        <v>1.7</v>
      </c>
    </row>
    <row r="19" spans="1:97" s="48" customFormat="1" ht="18.75" customHeight="1" x14ac:dyDescent="0.2">
      <c r="A19" s="48" t="s">
        <v>7</v>
      </c>
      <c r="C19" s="79">
        <f>SUM(C16:C18)</f>
        <v>7.1140939597315462</v>
      </c>
      <c r="D19" s="79">
        <f>SUM(D16:D18)</f>
        <v>14.093959731543624</v>
      </c>
      <c r="E19" s="79">
        <f>SUM(E16:E18)</f>
        <v>15.70469798657718</v>
      </c>
      <c r="F19" s="79">
        <f>SUM(F16:F18)</f>
        <v>11.543624161073826</v>
      </c>
      <c r="G19" s="80">
        <f>SUM(G16:G18)</f>
        <v>48.456375838926157</v>
      </c>
      <c r="H19" s="79"/>
      <c r="I19" s="79">
        <f>SUM(I16:I18)</f>
        <v>11.409395973154361</v>
      </c>
      <c r="J19" s="79">
        <f>SUM(J16:J18)</f>
        <v>30.604026845637577</v>
      </c>
      <c r="K19" s="79">
        <f>SUM(K16:K18)</f>
        <v>19.597315436241612</v>
      </c>
      <c r="L19" s="79">
        <f>SUM(L16:L18)</f>
        <v>19.328859060402685</v>
      </c>
      <c r="M19" s="80">
        <f>SUM(M16:M18)</f>
        <v>80.939597315436245</v>
      </c>
      <c r="N19" s="79"/>
      <c r="O19" s="79">
        <f>SUM(O16:O18)</f>
        <v>16.107382550335576</v>
      </c>
      <c r="P19" s="79">
        <f>SUM(P16:P18)</f>
        <v>30.067114093959731</v>
      </c>
      <c r="Q19" s="79">
        <f>SUM(Q16:Q18)</f>
        <v>22.416107382550337</v>
      </c>
      <c r="R19" s="79">
        <f>SUM(R16:R18)</f>
        <v>41.476510067114098</v>
      </c>
      <c r="S19" s="80">
        <f>SUM(S16:S18)</f>
        <v>110.06711409395973</v>
      </c>
      <c r="T19" s="79"/>
      <c r="U19" s="79">
        <f>SUM(U16:U18)</f>
        <v>18.523489932885898</v>
      </c>
      <c r="V19" s="79">
        <f>SUM(V16:V18)</f>
        <v>31.140939597315434</v>
      </c>
      <c r="W19" s="79">
        <f>SUM(W16:W18)</f>
        <v>18.65771812080537</v>
      </c>
      <c r="X19" s="79">
        <f>SUM(X16:X18)</f>
        <v>-14.09395973154362</v>
      </c>
      <c r="Y19" s="80">
        <f>SUM(Y16:Y18)</f>
        <v>54.228187919463096</v>
      </c>
      <c r="Z19" s="79"/>
      <c r="AA19" s="79">
        <f>SUM(AA16:AA18)</f>
        <v>-6.3837823915946501E-16</v>
      </c>
      <c r="AB19" s="79">
        <f>SUM(AB16:AB18)</f>
        <v>12.617449664429532</v>
      </c>
      <c r="AC19" s="79">
        <f>SUM(AC16:AC18)</f>
        <v>9.5302013422818792</v>
      </c>
      <c r="AD19" s="79">
        <f>SUM(AD16:AD18)</f>
        <v>9.7986577181208059</v>
      </c>
      <c r="AE19" s="80">
        <f>SUM(AE16:AE18)</f>
        <v>31.946308724832225</v>
      </c>
      <c r="AF19" s="79"/>
      <c r="AG19" s="79">
        <f>SUM(AG16:AG18)</f>
        <v>8.7248322147650992</v>
      </c>
      <c r="AH19" s="79">
        <f>SUM(AH16:AH18)</f>
        <v>13.020134228187922</v>
      </c>
      <c r="AI19" s="79">
        <f>SUM(AI16:AI18)</f>
        <v>10.738255033557049</v>
      </c>
      <c r="AJ19" s="79">
        <f>SUM(AJ16:AJ18)</f>
        <v>3.7583892617449641</v>
      </c>
      <c r="AK19" s="80">
        <f>SUM(AK16:AK18)</f>
        <v>36.241610738255027</v>
      </c>
      <c r="AL19" s="79"/>
      <c r="AM19" s="79">
        <f>SUM(AM16:AM18)</f>
        <v>6.8456375838926187</v>
      </c>
      <c r="AN19" s="79">
        <f>SUM(AN16:AN18)</f>
        <v>4.0268456375838939</v>
      </c>
      <c r="AO19" s="79">
        <f>SUM(AO16:AO18)</f>
        <v>5.7718120805369111</v>
      </c>
      <c r="AP19" s="79">
        <f>SUM(AP16:AP18)</f>
        <v>0.40268456375839023</v>
      </c>
      <c r="AQ19" s="80">
        <f>SUM(AQ16:AQ18)</f>
        <v>17.046979865771831</v>
      </c>
      <c r="AR19" s="79"/>
      <c r="AS19" s="79">
        <f>SUM(AS16:AS18)</f>
        <v>4.1610738255033555</v>
      </c>
      <c r="AT19" s="79">
        <f>SUM(AT16:AT18)</f>
        <v>193.15436241610735</v>
      </c>
      <c r="AU19" s="79">
        <f>SUM(AU16:AU18)</f>
        <v>4.9664429530201355</v>
      </c>
      <c r="AV19" s="79">
        <f>SUM(AV16:AV18)</f>
        <v>13.288590604026844</v>
      </c>
      <c r="AW19" s="80">
        <f>SUM(AW16:AW18)</f>
        <v>215.57046979865771</v>
      </c>
      <c r="AX19" s="79"/>
      <c r="AY19" s="79">
        <f>SUM(AY16:AY18)</f>
        <v>3.3557046979865786</v>
      </c>
      <c r="AZ19" s="79">
        <f>SUM(AZ16:AZ18)</f>
        <v>10.201342281879199</v>
      </c>
      <c r="BA19" s="79">
        <f>SUM(BA16:BA18)</f>
        <v>7.1140939597315445</v>
      </c>
      <c r="BB19" s="79">
        <f>SUM(BB16:BB18)</f>
        <v>13.28859060402684</v>
      </c>
      <c r="BC19" s="80">
        <f>SUM(BC16:BC18)</f>
        <v>33.959731543624144</v>
      </c>
      <c r="BD19" s="79"/>
      <c r="BE19" s="79">
        <f>SUM(BE16:BE18)</f>
        <v>11.677852348993287</v>
      </c>
      <c r="BF19" s="79">
        <f>SUM(BF16:BF18)</f>
        <v>6.308724832214768</v>
      </c>
      <c r="BG19" s="79">
        <f>SUM(BG16:BG18)</f>
        <v>8.0536912751677843</v>
      </c>
      <c r="BH19" s="79">
        <f>SUM(BH16:BH18)</f>
        <v>11.543624161073826</v>
      </c>
      <c r="BI19" s="80">
        <f>SUM(BI16:BI18)</f>
        <v>37.583892617449649</v>
      </c>
      <c r="BJ19" s="79"/>
      <c r="BK19" s="79">
        <f>SUM(BK16:BK18)</f>
        <v>12.214765100671148</v>
      </c>
      <c r="BL19" s="79">
        <f>SUM(BL16:BL18)</f>
        <v>-27.651006711409394</v>
      </c>
      <c r="BM19" s="79">
        <f>SUM(BM16:BM18)</f>
        <v>9.664429530201339</v>
      </c>
      <c r="BN19" s="79">
        <f>SUM(BN16:BN18)</f>
        <v>6.9599999999999955</v>
      </c>
      <c r="BO19" s="80">
        <f>SUM(BO16:BO18)</f>
        <v>1.1881879194631111</v>
      </c>
      <c r="BP19" s="79"/>
      <c r="BQ19" s="79">
        <f>SUM(BQ16:BQ18)</f>
        <v>10.600999999999997</v>
      </c>
      <c r="BR19" s="79">
        <f>SUM(BR16:BR18)</f>
        <v>20.2</v>
      </c>
      <c r="BS19" s="79">
        <f>SUM(BS16:BS18)</f>
        <v>-24.799999999999997</v>
      </c>
      <c r="BT19" s="79">
        <f>SUM(BT16:BT18)</f>
        <v>6.0999999999999961</v>
      </c>
      <c r="BU19" s="80">
        <f>SUM(BU16:BU18)</f>
        <v>12.100999999999988</v>
      </c>
      <c r="BV19" s="79"/>
      <c r="BW19" s="79">
        <f>SUM(BW16:BW18)</f>
        <v>12.600000000000001</v>
      </c>
      <c r="BX19" s="79">
        <f>SUM(BX16:BX18)</f>
        <v>32.5</v>
      </c>
      <c r="BY19" s="79">
        <f>SUM(BY16:BY18)</f>
        <v>17.600000000000005</v>
      </c>
      <c r="BZ19" s="79">
        <f>SUM(BZ16:BZ18)</f>
        <v>866.1</v>
      </c>
      <c r="CA19" s="80">
        <f>SUM(CA16:CA18)</f>
        <v>928.8</v>
      </c>
      <c r="CC19" s="79">
        <f>SUM(CC16:CC18)</f>
        <v>-4.9999999999999973</v>
      </c>
      <c r="CD19" s="79">
        <f>SUM(CD16:CD18)</f>
        <v>1.7000000000000015</v>
      </c>
      <c r="CE19" s="79">
        <f>SUM(CE16:CE18)</f>
        <v>-2.8</v>
      </c>
      <c r="CF19" s="79">
        <f>SUM(CF16:CF18)</f>
        <v>-40.20000000000001</v>
      </c>
      <c r="CG19" s="80">
        <f>SUM(CG16:CG18)</f>
        <v>-46.300000000000004</v>
      </c>
      <c r="CI19" s="79">
        <f>SUM(CI16:CI18)</f>
        <v>-19.000000000000004</v>
      </c>
      <c r="CJ19" s="79">
        <f>SUM(CJ16:CJ18)</f>
        <v>-15.099999999999996</v>
      </c>
      <c r="CK19" s="79">
        <f>SUM(CK16:CK18)</f>
        <v>-19.2</v>
      </c>
      <c r="CL19" s="79">
        <f>SUM(CL16:CL18)</f>
        <v>-22.700000000000003</v>
      </c>
      <c r="CM19" s="80">
        <f>SUM(CM16:CM18)</f>
        <v>-76</v>
      </c>
      <c r="CO19" s="79">
        <f>SUM(CO16:CO18)</f>
        <v>-20.6</v>
      </c>
      <c r="CP19" s="79"/>
      <c r="CQ19" s="79"/>
      <c r="CR19" s="79"/>
      <c r="CS19" s="80">
        <f>SUM(CS16:CS18)</f>
        <v>-20.6</v>
      </c>
    </row>
    <row r="20" spans="1:97" s="47" customFormat="1" ht="18.75" customHeight="1" x14ac:dyDescent="0.2">
      <c r="A20" s="47" t="s">
        <v>8</v>
      </c>
      <c r="C20" s="77">
        <v>-0.13422818791946309</v>
      </c>
      <c r="D20" s="77">
        <v>-0.26845637583892618</v>
      </c>
      <c r="E20" s="77">
        <v>-0.26845637583892618</v>
      </c>
      <c r="F20" s="77">
        <v>0.13422818791946309</v>
      </c>
      <c r="G20" s="81">
        <f>SUM(C20:F20)</f>
        <v>-0.53691275167785224</v>
      </c>
      <c r="H20" s="77"/>
      <c r="I20" s="77">
        <v>0</v>
      </c>
      <c r="J20" s="77">
        <v>-1.0738255033557047</v>
      </c>
      <c r="K20" s="77">
        <v>-1.0738255033557047</v>
      </c>
      <c r="L20" s="77">
        <v>-0.67114093959731547</v>
      </c>
      <c r="M20" s="81">
        <f>SUM(I20:L20)</f>
        <v>-2.8187919463087248</v>
      </c>
      <c r="N20" s="77"/>
      <c r="O20" s="77">
        <v>-0.13422818791946309</v>
      </c>
      <c r="P20" s="77">
        <v>-0.53691275167785235</v>
      </c>
      <c r="Q20" s="77">
        <v>-0.53691275167785235</v>
      </c>
      <c r="R20" s="77">
        <v>-0.80536912751677847</v>
      </c>
      <c r="S20" s="81">
        <f>SUM(O20:R20)</f>
        <v>-2.0134228187919465</v>
      </c>
      <c r="T20" s="77"/>
      <c r="U20" s="77">
        <v>-0.26845637583892618</v>
      </c>
      <c r="V20" s="77">
        <v>-0.13422818791946309</v>
      </c>
      <c r="W20" s="77">
        <v>-0.67114093959731547</v>
      </c>
      <c r="X20" s="77">
        <v>0.67114093959731547</v>
      </c>
      <c r="Y20" s="81">
        <f>SUM(U20:X20)</f>
        <v>-0.40268456375838924</v>
      </c>
      <c r="Z20" s="77"/>
      <c r="AA20" s="77">
        <v>0.26845637583892618</v>
      </c>
      <c r="AB20" s="77">
        <v>0</v>
      </c>
      <c r="AC20" s="77">
        <v>-0.13422818791946309</v>
      </c>
      <c r="AD20" s="77">
        <v>0.26845637583892618</v>
      </c>
      <c r="AE20" s="81">
        <f>SUM(AA20:AD20)</f>
        <v>0.40268456375838924</v>
      </c>
      <c r="AF20" s="77"/>
      <c r="AG20" s="77">
        <v>0</v>
      </c>
      <c r="AH20" s="77">
        <v>-0.26845637583892618</v>
      </c>
      <c r="AI20" s="77">
        <v>-0.13422818791946309</v>
      </c>
      <c r="AJ20" s="77">
        <v>-0.13422818791946309</v>
      </c>
      <c r="AK20" s="81">
        <f>SUM(AG20:AJ20)</f>
        <v>-0.53691275167785235</v>
      </c>
      <c r="AL20" s="77"/>
      <c r="AM20" s="77">
        <v>0</v>
      </c>
      <c r="AN20" s="77">
        <v>0</v>
      </c>
      <c r="AO20" s="77">
        <v>-0.13422818791946309</v>
      </c>
      <c r="AP20" s="77">
        <v>-0.13422818791946309</v>
      </c>
      <c r="AQ20" s="81">
        <f>SUM(AM20:AP20)</f>
        <v>-0.26845637583892618</v>
      </c>
      <c r="AR20" s="77"/>
      <c r="AS20" s="77">
        <v>-0.13422818791946309</v>
      </c>
      <c r="AT20" s="77">
        <v>0.13422818791946309</v>
      </c>
      <c r="AU20" s="77">
        <v>-0.13422818791946309</v>
      </c>
      <c r="AV20" s="77">
        <v>-0.13422818791946309</v>
      </c>
      <c r="AW20" s="81">
        <f>SUM(AS20:AV20)</f>
        <v>-0.26845637583892618</v>
      </c>
      <c r="AX20" s="77"/>
      <c r="AY20" s="77">
        <v>0</v>
      </c>
      <c r="AZ20" s="77">
        <v>-0.13422818791946309</v>
      </c>
      <c r="BA20" s="77">
        <v>0</v>
      </c>
      <c r="BB20" s="77">
        <v>0</v>
      </c>
      <c r="BC20" s="81">
        <f>SUM(AY20:BB20)</f>
        <v>-0.13422818791946309</v>
      </c>
      <c r="BD20" s="77"/>
      <c r="BE20" s="77">
        <v>0</v>
      </c>
      <c r="BF20" s="77">
        <v>-0.13422818791946309</v>
      </c>
      <c r="BG20" s="77">
        <v>0</v>
      </c>
      <c r="BH20" s="77">
        <v>0.13422818791946309</v>
      </c>
      <c r="BI20" s="81">
        <f>SUM(BE20:BH20)</f>
        <v>0</v>
      </c>
      <c r="BJ20" s="77"/>
      <c r="BK20" s="77">
        <v>0</v>
      </c>
      <c r="BL20" s="77">
        <v>-0.13422818791946309</v>
      </c>
      <c r="BM20" s="77">
        <v>0</v>
      </c>
      <c r="BN20" s="77">
        <v>-0.1</v>
      </c>
      <c r="BO20" s="81">
        <f>SUM(BK20:BN20)</f>
        <v>-0.23422818791946309</v>
      </c>
      <c r="BP20" s="77"/>
      <c r="BQ20" s="77">
        <v>0</v>
      </c>
      <c r="BR20" s="77">
        <v>0</v>
      </c>
      <c r="BS20" s="77">
        <v>0</v>
      </c>
      <c r="BT20" s="77">
        <v>0</v>
      </c>
      <c r="BU20" s="81">
        <f>SUM(BQ20:BT20)</f>
        <v>0</v>
      </c>
      <c r="BV20" s="77"/>
      <c r="BW20" s="77">
        <v>0</v>
      </c>
      <c r="BX20" s="77">
        <v>0</v>
      </c>
      <c r="BY20" s="77">
        <v>0</v>
      </c>
      <c r="BZ20" s="77">
        <v>1</v>
      </c>
      <c r="CA20" s="81">
        <f>SUM(BW20:BZ20)</f>
        <v>1</v>
      </c>
      <c r="CC20" s="77">
        <v>0</v>
      </c>
      <c r="CD20" s="77">
        <v>0</v>
      </c>
      <c r="CE20" s="77">
        <v>0</v>
      </c>
      <c r="CF20" s="77">
        <v>0</v>
      </c>
      <c r="CG20" s="81">
        <f>SUM(CC20:CF20)</f>
        <v>0</v>
      </c>
      <c r="CI20" s="77">
        <v>0</v>
      </c>
      <c r="CJ20" s="77">
        <v>0</v>
      </c>
      <c r="CK20" s="77">
        <v>0</v>
      </c>
      <c r="CL20" s="77">
        <v>0</v>
      </c>
      <c r="CM20" s="81">
        <f>SUM(CI20:CL20)</f>
        <v>0</v>
      </c>
      <c r="CO20" s="77">
        <v>0</v>
      </c>
      <c r="CP20" s="77"/>
      <c r="CQ20" s="77"/>
      <c r="CR20" s="77"/>
      <c r="CS20" s="81">
        <f>SUM(CO20:CR20)</f>
        <v>0</v>
      </c>
    </row>
    <row r="21" spans="1:97" s="48" customFormat="1" ht="18.75" customHeight="1" x14ac:dyDescent="0.2">
      <c r="A21" s="48" t="s">
        <v>9</v>
      </c>
      <c r="C21" s="82">
        <f>SUM(C19:C20)</f>
        <v>6.9798657718120829</v>
      </c>
      <c r="D21" s="82">
        <f>SUM(D19:D20)</f>
        <v>13.825503355704697</v>
      </c>
      <c r="E21" s="82">
        <f>SUM(E19:E20)</f>
        <v>15.436241610738254</v>
      </c>
      <c r="F21" s="82">
        <f>SUM(F19:F20)</f>
        <v>11.677852348993289</v>
      </c>
      <c r="G21" s="83">
        <f>SUM(G19:G20)</f>
        <v>47.919463087248303</v>
      </c>
      <c r="H21" s="79"/>
      <c r="I21" s="82">
        <f>SUM(I19:I20)</f>
        <v>11.409395973154361</v>
      </c>
      <c r="J21" s="82">
        <f>SUM(J19:J20)</f>
        <v>29.530201342281874</v>
      </c>
      <c r="K21" s="82">
        <f>SUM(K19:K20)</f>
        <v>18.523489932885909</v>
      </c>
      <c r="L21" s="82">
        <f>SUM(L19:L20)</f>
        <v>18.65771812080537</v>
      </c>
      <c r="M21" s="83">
        <f>SUM(M19:M20)</f>
        <v>78.120805369127524</v>
      </c>
      <c r="N21" s="79"/>
      <c r="O21" s="82">
        <f>SUM(O19:O20)</f>
        <v>15.973154362416112</v>
      </c>
      <c r="P21" s="82">
        <f>SUM(P19:P20)</f>
        <v>29.530201342281877</v>
      </c>
      <c r="Q21" s="82">
        <f>SUM(Q19:Q20)</f>
        <v>21.879194630872483</v>
      </c>
      <c r="R21" s="82">
        <f>SUM(R19:R20)</f>
        <v>40.671140939597322</v>
      </c>
      <c r="S21" s="83">
        <f>SUM(S19:S20)</f>
        <v>108.05369127516778</v>
      </c>
      <c r="T21" s="79"/>
      <c r="U21" s="82">
        <f>SUM(U19:U20)</f>
        <v>18.255033557046971</v>
      </c>
      <c r="V21" s="82">
        <f>SUM(V19:V20)</f>
        <v>31.006711409395972</v>
      </c>
      <c r="W21" s="82">
        <f>SUM(W19:W20)</f>
        <v>17.986577181208055</v>
      </c>
      <c r="X21" s="82">
        <f>SUM(X19:X20)</f>
        <v>-13.422818791946305</v>
      </c>
      <c r="Y21" s="83">
        <f>SUM(Y19:Y20)</f>
        <v>53.825503355704704</v>
      </c>
      <c r="Z21" s="79"/>
      <c r="AA21" s="82">
        <f>SUM(AA19:AA20)</f>
        <v>0.26845637583892556</v>
      </c>
      <c r="AB21" s="82">
        <f>SUM(AB19:AB20)</f>
        <v>12.617449664429532</v>
      </c>
      <c r="AC21" s="82">
        <f>SUM(AC19:AC20)</f>
        <v>9.3959731543624159</v>
      </c>
      <c r="AD21" s="82">
        <f>SUM(AD19:AD20)</f>
        <v>10.067114093959733</v>
      </c>
      <c r="AE21" s="83">
        <f>SUM(AE19:AE20)</f>
        <v>32.348993288590613</v>
      </c>
      <c r="AF21" s="79"/>
      <c r="AG21" s="82">
        <f>SUM(AG19:AG20)</f>
        <v>8.7248322147650992</v>
      </c>
      <c r="AH21" s="82">
        <f>SUM(AH19:AH20)</f>
        <v>12.751677852348996</v>
      </c>
      <c r="AI21" s="82">
        <f>SUM(AI19:AI20)</f>
        <v>10.604026845637586</v>
      </c>
      <c r="AJ21" s="82">
        <f>SUM(AJ19:AJ20)</f>
        <v>3.6241610738255012</v>
      </c>
      <c r="AK21" s="83">
        <f>SUM(AK19:AK20)</f>
        <v>35.704697986577173</v>
      </c>
      <c r="AL21" s="79"/>
      <c r="AM21" s="82">
        <f>SUM(AM19:AM20)</f>
        <v>6.8456375838926187</v>
      </c>
      <c r="AN21" s="82">
        <f>SUM(AN19:AN20)</f>
        <v>4.0268456375838939</v>
      </c>
      <c r="AO21" s="82">
        <f>SUM(AO19:AO20)</f>
        <v>5.6375838926174477</v>
      </c>
      <c r="AP21" s="82">
        <v>-1</v>
      </c>
      <c r="AQ21" s="83">
        <f>SUM(AQ19:AQ20)</f>
        <v>16.778523489932905</v>
      </c>
      <c r="AR21" s="79"/>
      <c r="AS21" s="82">
        <f>SUM(AS19:AS20)</f>
        <v>4.0268456375838921</v>
      </c>
      <c r="AT21" s="82">
        <f>SUM(AT19:AT20)</f>
        <v>193.28859060402681</v>
      </c>
      <c r="AU21" s="82">
        <f>SUM(AU19:AU20)</f>
        <v>4.8322147651006722</v>
      </c>
      <c r="AV21" s="82">
        <f>SUM(AV19:AV20)</f>
        <v>13.15436241610738</v>
      </c>
      <c r="AW21" s="83">
        <f>SUM(AW19:AW20)</f>
        <v>215.30201342281879</v>
      </c>
      <c r="AX21" s="79"/>
      <c r="AY21" s="82">
        <f>SUM(AY19:AY20)</f>
        <v>3.3557046979865786</v>
      </c>
      <c r="AZ21" s="82">
        <f>SUM(AZ19:AZ20)</f>
        <v>10.067114093959736</v>
      </c>
      <c r="BA21" s="82">
        <f>SUM(BA19:BA20)</f>
        <v>7.1140939597315445</v>
      </c>
      <c r="BB21" s="82">
        <f>SUM(BB19:BB20)</f>
        <v>13.28859060402684</v>
      </c>
      <c r="BC21" s="83">
        <f>SUM(BC19:BC20)</f>
        <v>33.825503355704683</v>
      </c>
      <c r="BD21" s="79"/>
      <c r="BE21" s="82">
        <f>SUM(BE19:BE20)</f>
        <v>11.677852348993287</v>
      </c>
      <c r="BF21" s="82">
        <f>SUM(BF19:BF20)</f>
        <v>6.1744966442953046</v>
      </c>
      <c r="BG21" s="82">
        <f>SUM(BG19:BG20)</f>
        <v>8.0536912751677843</v>
      </c>
      <c r="BH21" s="82">
        <f>SUM(BH19:BH20)</f>
        <v>11.677852348993289</v>
      </c>
      <c r="BI21" s="83">
        <f>SUM(BI19:BI20)</f>
        <v>37.583892617449649</v>
      </c>
      <c r="BJ21" s="79"/>
      <c r="BK21" s="82">
        <f>SUM(BK19:BK20)</f>
        <v>12.214765100671148</v>
      </c>
      <c r="BL21" s="82">
        <f>SUM(BL19:BL20)</f>
        <v>-27.785234899328856</v>
      </c>
      <c r="BM21" s="82">
        <f>SUM(BM19:BM20)</f>
        <v>9.664429530201339</v>
      </c>
      <c r="BN21" s="82">
        <f>SUM(BN19:BN20)</f>
        <v>6.8599999999999959</v>
      </c>
      <c r="BO21" s="83">
        <f>SUM(BO19:BO20)</f>
        <v>0.95395973154364799</v>
      </c>
      <c r="BP21" s="79"/>
      <c r="BQ21" s="82">
        <f>SUM(BQ19:BQ20)</f>
        <v>10.600999999999997</v>
      </c>
      <c r="BR21" s="82">
        <f>SUM(BR19:BR20)</f>
        <v>20.2</v>
      </c>
      <c r="BS21" s="82">
        <f>SUM(BS19:BS20)</f>
        <v>-24.799999999999997</v>
      </c>
      <c r="BT21" s="82">
        <f>SUM(BT19:BT20)</f>
        <v>6.0999999999999961</v>
      </c>
      <c r="BU21" s="83">
        <f>SUM(BU19:BU20)</f>
        <v>12.100999999999988</v>
      </c>
      <c r="BV21" s="79"/>
      <c r="BW21" s="82">
        <f>SUM(BW19:BW20)</f>
        <v>12.600000000000001</v>
      </c>
      <c r="BX21" s="82">
        <f>SUM(BX19:BX20)</f>
        <v>32.5</v>
      </c>
      <c r="BY21" s="82">
        <f>SUM(BY19:BY20)</f>
        <v>17.600000000000005</v>
      </c>
      <c r="BZ21" s="82">
        <f>SUM(BZ19:BZ20)</f>
        <v>867.1</v>
      </c>
      <c r="CA21" s="83">
        <f>SUM(CA19:CA20)</f>
        <v>929.8</v>
      </c>
      <c r="CC21" s="82">
        <f>SUM(CC19:CC20)</f>
        <v>-4.9999999999999973</v>
      </c>
      <c r="CD21" s="82">
        <f>SUM(CD19:CD20)</f>
        <v>1.7000000000000015</v>
      </c>
      <c r="CE21" s="82">
        <f>SUM(CE19:CE20)</f>
        <v>-2.8</v>
      </c>
      <c r="CF21" s="82">
        <f>SUM(CF19:CF20)</f>
        <v>-40.20000000000001</v>
      </c>
      <c r="CG21" s="83">
        <f>SUM(CG19:CG20)</f>
        <v>-46.300000000000004</v>
      </c>
      <c r="CI21" s="82">
        <f>SUM(CI19:CI20)</f>
        <v>-19.000000000000004</v>
      </c>
      <c r="CJ21" s="82">
        <f>SUM(CJ19:CJ20)</f>
        <v>-15.099999999999996</v>
      </c>
      <c r="CK21" s="82">
        <f>SUM(CK19:CK20)</f>
        <v>-19.2</v>
      </c>
      <c r="CL21" s="82">
        <f>SUM(CL19:CL20)</f>
        <v>-22.700000000000003</v>
      </c>
      <c r="CM21" s="83">
        <f>SUM(CM19:CM20)</f>
        <v>-76</v>
      </c>
      <c r="CO21" s="82">
        <f>SUM(CO19:CO20)</f>
        <v>-20.6</v>
      </c>
      <c r="CP21" s="82"/>
      <c r="CQ21" s="82"/>
      <c r="CR21" s="82"/>
      <c r="CS21" s="83">
        <f>SUM(CS19:CS20)</f>
        <v>-20.6</v>
      </c>
    </row>
    <row r="22" spans="1:97" x14ac:dyDescent="0.2"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31"/>
      <c r="AE22" s="75"/>
      <c r="AF22" s="31"/>
      <c r="AG22" s="31"/>
      <c r="AH22" s="31"/>
      <c r="AI22" s="31"/>
      <c r="AJ22" s="31"/>
      <c r="AK22" s="75"/>
      <c r="AL22" s="31"/>
      <c r="AM22" s="31"/>
      <c r="AN22" s="31"/>
      <c r="AO22" s="31"/>
      <c r="AP22" s="31"/>
      <c r="AQ22" s="75"/>
      <c r="AR22" s="31"/>
      <c r="AS22" s="31"/>
      <c r="AT22" s="31"/>
      <c r="AU22" s="31"/>
      <c r="AV22" s="31"/>
      <c r="AW22" s="75"/>
      <c r="AX22" s="31"/>
      <c r="AY22" s="31"/>
      <c r="AZ22" s="31"/>
      <c r="BA22" s="31"/>
      <c r="BB22" s="31"/>
      <c r="BC22" s="75"/>
      <c r="BD22" s="31"/>
      <c r="BE22" s="31"/>
      <c r="BF22" s="31"/>
      <c r="BG22" s="31"/>
      <c r="BH22" s="31"/>
      <c r="BI22" s="75"/>
      <c r="BJ22" s="31"/>
      <c r="BK22" s="31"/>
      <c r="BL22" s="31"/>
      <c r="BM22" s="31"/>
      <c r="BN22" s="31"/>
      <c r="BO22" s="75"/>
      <c r="BP22" s="31"/>
      <c r="BQ22" s="31"/>
      <c r="BR22" s="31"/>
      <c r="BS22" s="31"/>
      <c r="BT22" s="31"/>
      <c r="BU22" s="75"/>
      <c r="BV22" s="31"/>
      <c r="BW22" s="31"/>
      <c r="BX22" s="31"/>
      <c r="BY22" s="31"/>
      <c r="BZ22" s="31"/>
      <c r="CA22" s="75"/>
      <c r="CC22" s="31"/>
      <c r="CD22" s="31"/>
      <c r="CE22" s="31"/>
      <c r="CF22" s="31"/>
      <c r="CG22" s="75"/>
      <c r="CI22" s="31"/>
      <c r="CJ22" s="31"/>
      <c r="CK22" s="31"/>
      <c r="CL22" s="31"/>
      <c r="CM22" s="75"/>
      <c r="CO22" s="31"/>
      <c r="CP22" s="31"/>
      <c r="CQ22" s="31"/>
      <c r="CR22" s="31"/>
      <c r="CS22" s="75"/>
    </row>
    <row r="23" spans="1:97" x14ac:dyDescent="0.2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  <c r="CC23" s="31"/>
      <c r="CD23" s="31"/>
      <c r="CE23" s="31"/>
      <c r="CF23" s="31"/>
      <c r="CG23" s="75"/>
      <c r="CI23" s="31"/>
      <c r="CJ23" s="31"/>
      <c r="CK23" s="31"/>
      <c r="CL23" s="31"/>
      <c r="CM23" s="75"/>
      <c r="CO23" s="31"/>
      <c r="CP23" s="31"/>
      <c r="CQ23" s="31"/>
      <c r="CR23" s="31"/>
      <c r="CS23" s="75"/>
    </row>
    <row r="24" spans="1:97" x14ac:dyDescent="0.2">
      <c r="A24" s="5" t="s">
        <v>127</v>
      </c>
      <c r="C24" s="31">
        <f>(+'OLD Segment Data 2005-2019'!C16)/7.45</f>
        <v>32.232782307103278</v>
      </c>
      <c r="D24" s="31">
        <f>(+'OLD Segment Data 2005-2019'!D16)/7.45</f>
        <v>38.989234719156798</v>
      </c>
      <c r="E24" s="31">
        <f>(+'OLD Segment Data 2005-2019'!E16)/7.45</f>
        <v>37.421737759560379</v>
      </c>
      <c r="F24" s="31">
        <f>(+'OLD Segment Data 2005-2019'!F16)/7.45</f>
        <v>38.736993829106794</v>
      </c>
      <c r="G24" s="84">
        <f>+'OLD Segment Data 2005-2019'!G16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84">
        <f>+'OLD Segment Data 2005-2019'!M16</f>
        <v>1208.0536912751677</v>
      </c>
      <c r="N24" s="31"/>
      <c r="O24" s="31">
        <v>340.80536912751677</v>
      </c>
      <c r="P24" s="31">
        <v>385.1006711409396</v>
      </c>
      <c r="Q24" s="85">
        <v>351.54362416107381</v>
      </c>
      <c r="R24" s="85">
        <v>371.94630872483219</v>
      </c>
      <c r="S24" s="84">
        <f>+'OLD Segment Data 2005-2019'!S16</f>
        <v>1449.3959731543625</v>
      </c>
      <c r="T24" s="31"/>
      <c r="U24" s="31">
        <f>(+'OLD Segment Data 2005-2019'!U16)/7.45</f>
        <v>48.628440160353129</v>
      </c>
      <c r="V24" s="31">
        <f>(+'OLD Segment Data 2005-2019'!V16)/7.45</f>
        <v>55.511013017431644</v>
      </c>
      <c r="W24" s="31">
        <f>(+'OLD Segment Data 2005-2019'!W16)/7.45</f>
        <v>50.700418900049542</v>
      </c>
      <c r="X24" s="31">
        <f>(+'OLD Segment Data 2005-2019'!X16)/7.45</f>
        <v>48.268096031710286</v>
      </c>
      <c r="Y24" s="84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84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84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84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84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84">
        <f>+'OLD Segment Data 2005-2019'!BC16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84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+'OLD Segment Data 2005-2019'!BN16</f>
        <v>469.6</v>
      </c>
      <c r="BO24" s="84">
        <f>SUM(BK24:BN24)</f>
        <v>1869.1973154362418</v>
      </c>
      <c r="BP24" s="31"/>
      <c r="BQ24" s="31">
        <f>+'OLD Segment Data 2005-2019'!BQ16</f>
        <v>425.9</v>
      </c>
      <c r="BR24" s="31">
        <f>+'OLD Segment Data 2005-2019'!BR16</f>
        <v>485.49999999999989</v>
      </c>
      <c r="BS24" s="31">
        <v>457.4</v>
      </c>
      <c r="BT24" s="31">
        <v>482.5</v>
      </c>
      <c r="BU24" s="84">
        <f>SUM(BQ24:BT24)</f>
        <v>1851.2999999999997</v>
      </c>
      <c r="BV24" s="31"/>
      <c r="BW24" s="31">
        <f>+'OLD Segment Data 2005-2019'!BW16</f>
        <v>461.69999999999993</v>
      </c>
      <c r="BX24" s="31">
        <f>+'OLD Segment Data 2005-2019'!BX16</f>
        <v>579.29999999999995</v>
      </c>
      <c r="BY24" s="31">
        <f>+'OLD Segment Data 2005-2019'!BY16</f>
        <v>567.09999999999991</v>
      </c>
      <c r="BZ24" s="31">
        <f>+'OLD Segment Data 2005-2019'!BZ16</f>
        <v>302</v>
      </c>
      <c r="CA24" s="84">
        <f>SUM(BW24:BZ24)</f>
        <v>1910.1</v>
      </c>
      <c r="CC24" s="31">
        <f>+'OLD Segment Data 2005-2019'!CC16</f>
        <v>266.89999999999998</v>
      </c>
      <c r="CD24" s="31">
        <v>324</v>
      </c>
      <c r="CE24" s="31">
        <f>+'OLD Segment Data 2005-2019'!CE16</f>
        <v>301.64</v>
      </c>
      <c r="CF24" s="31">
        <f>+'OLD Segment Data 2005-2019'!CF16</f>
        <v>254.59999999999997</v>
      </c>
      <c r="CG24" s="84">
        <f>SUM(CC24:CF24)</f>
        <v>1147.1399999999999</v>
      </c>
      <c r="CI24" s="31">
        <f>+'OLD Segment Data 2005-2019'!CI16</f>
        <v>219.9</v>
      </c>
      <c r="CJ24" s="31">
        <f>+'OLD Segment Data 2005-2019'!CJ16</f>
        <v>262.59999999999997</v>
      </c>
      <c r="CK24" s="31">
        <f>+'OLD Segment Data 2005-2019'!CK16</f>
        <v>249.1</v>
      </c>
      <c r="CL24" s="31">
        <f>+'OLD Segment Data 2005-2019'!CL16</f>
        <v>287.59999999999997</v>
      </c>
      <c r="CM24" s="84">
        <f>SUM(CI24:CL24)</f>
        <v>1019.2</v>
      </c>
      <c r="CO24" s="31">
        <f>+'Segment Data 2017-2020'!U23</f>
        <v>252.99999999999997</v>
      </c>
      <c r="CP24" s="31"/>
      <c r="CQ24" s="31"/>
      <c r="CR24" s="31"/>
      <c r="CS24" s="84">
        <f>SUM(CO24:CR24)</f>
        <v>252.99999999999997</v>
      </c>
    </row>
    <row r="25" spans="1:97" x14ac:dyDescent="0.2">
      <c r="C25" s="31"/>
      <c r="D25" s="31"/>
      <c r="E25" s="31"/>
      <c r="F25" s="31"/>
      <c r="G25" s="75"/>
      <c r="H25" s="31"/>
      <c r="I25" s="31"/>
      <c r="J25" s="31"/>
      <c r="K25" s="31"/>
      <c r="L25" s="31"/>
      <c r="M25" s="75"/>
      <c r="N25" s="31"/>
      <c r="O25" s="31"/>
      <c r="P25" s="31"/>
      <c r="Q25" s="31"/>
      <c r="R25" s="31"/>
      <c r="S25" s="75"/>
      <c r="T25" s="31"/>
      <c r="U25" s="31"/>
      <c r="V25" s="31"/>
      <c r="W25" s="31"/>
      <c r="X25" s="31"/>
      <c r="Y25" s="75"/>
      <c r="Z25" s="31"/>
      <c r="AA25" s="31"/>
      <c r="AB25" s="31"/>
      <c r="AC25" s="31"/>
      <c r="AD25" s="31"/>
      <c r="AE25" s="75"/>
      <c r="AF25" s="31"/>
      <c r="AG25" s="31"/>
      <c r="AH25" s="31"/>
      <c r="AI25" s="31"/>
      <c r="AJ25" s="31"/>
      <c r="AK25" s="75"/>
      <c r="AL25" s="31"/>
      <c r="AM25" s="31"/>
      <c r="AN25" s="31"/>
      <c r="AO25" s="31"/>
      <c r="AP25" s="31"/>
      <c r="AQ25" s="75"/>
      <c r="AR25" s="31"/>
      <c r="AS25" s="31"/>
      <c r="AT25" s="31"/>
      <c r="AU25" s="31"/>
      <c r="AV25" s="31"/>
      <c r="AW25" s="75"/>
      <c r="AX25" s="31"/>
      <c r="AY25" s="31"/>
      <c r="AZ25" s="31"/>
      <c r="BA25" s="31"/>
      <c r="BB25" s="31"/>
      <c r="BC25" s="75"/>
      <c r="BD25" s="31"/>
      <c r="BE25" s="31"/>
      <c r="BF25" s="31"/>
      <c r="BG25" s="31"/>
      <c r="BH25" s="31"/>
      <c r="BI25" s="75"/>
      <c r="BJ25" s="31"/>
      <c r="BK25" s="31"/>
      <c r="BL25" s="31"/>
      <c r="BM25" s="31"/>
      <c r="BN25" s="31"/>
      <c r="BO25" s="75"/>
      <c r="BP25" s="31"/>
      <c r="BQ25" s="31"/>
      <c r="BR25" s="31"/>
      <c r="BS25" s="31"/>
      <c r="BT25" s="31"/>
      <c r="BU25" s="75"/>
      <c r="BV25" s="31"/>
      <c r="BW25" s="31"/>
      <c r="BX25" s="31"/>
      <c r="BY25" s="31"/>
      <c r="BZ25" s="31"/>
      <c r="CA25" s="75"/>
      <c r="CC25" s="31"/>
      <c r="CD25" s="31"/>
      <c r="CE25" s="31"/>
      <c r="CF25" s="31"/>
      <c r="CG25" s="75"/>
      <c r="CI25" s="31"/>
      <c r="CJ25" s="31"/>
      <c r="CK25" s="31"/>
      <c r="CL25" s="31"/>
      <c r="CM25" s="75"/>
      <c r="CO25" s="31"/>
      <c r="CP25" s="31"/>
      <c r="CQ25" s="31"/>
      <c r="CR25" s="31"/>
      <c r="CS25" s="75"/>
    </row>
    <row r="26" spans="1:97" s="46" customFormat="1" x14ac:dyDescent="0.2">
      <c r="A26" s="43" t="s">
        <v>15</v>
      </c>
      <c r="C26" s="89"/>
      <c r="D26" s="89"/>
      <c r="E26" s="89"/>
      <c r="F26" s="89"/>
      <c r="G26" s="90"/>
      <c r="H26" s="91"/>
      <c r="I26" s="89"/>
      <c r="J26" s="89"/>
      <c r="K26" s="89"/>
      <c r="L26" s="89"/>
      <c r="M26" s="90"/>
      <c r="N26" s="91"/>
      <c r="O26" s="89"/>
      <c r="P26" s="89"/>
      <c r="Q26" s="89"/>
      <c r="R26" s="89"/>
      <c r="S26" s="90"/>
      <c r="T26" s="91"/>
      <c r="U26" s="89" t="s">
        <v>10</v>
      </c>
      <c r="V26" s="89" t="s">
        <v>11</v>
      </c>
      <c r="W26" s="89" t="s">
        <v>12</v>
      </c>
      <c r="X26" s="89" t="s">
        <v>13</v>
      </c>
      <c r="Y26" s="90"/>
      <c r="Z26" s="91"/>
      <c r="AA26" s="89" t="s">
        <v>10</v>
      </c>
      <c r="AB26" s="89" t="s">
        <v>11</v>
      </c>
      <c r="AC26" s="89" t="s">
        <v>12</v>
      </c>
      <c r="AD26" s="89" t="s">
        <v>13</v>
      </c>
      <c r="AE26" s="90"/>
      <c r="AF26" s="91"/>
      <c r="AG26" s="89" t="s">
        <v>10</v>
      </c>
      <c r="AH26" s="89" t="s">
        <v>11</v>
      </c>
      <c r="AI26" s="89" t="s">
        <v>12</v>
      </c>
      <c r="AJ26" s="89" t="s">
        <v>13</v>
      </c>
      <c r="AK26" s="90"/>
      <c r="AL26" s="91"/>
      <c r="AM26" s="89" t="s">
        <v>10</v>
      </c>
      <c r="AN26" s="89" t="s">
        <v>11</v>
      </c>
      <c r="AO26" s="89" t="s">
        <v>12</v>
      </c>
      <c r="AP26" s="89" t="s">
        <v>13</v>
      </c>
      <c r="AQ26" s="90"/>
      <c r="AR26" s="91"/>
      <c r="AS26" s="89" t="s">
        <v>10</v>
      </c>
      <c r="AT26" s="89" t="s">
        <v>11</v>
      </c>
      <c r="AU26" s="89" t="s">
        <v>12</v>
      </c>
      <c r="AV26" s="89" t="s">
        <v>13</v>
      </c>
      <c r="AW26" s="90"/>
      <c r="AX26" s="91"/>
      <c r="AY26" s="89" t="s">
        <v>10</v>
      </c>
      <c r="AZ26" s="89" t="s">
        <v>11</v>
      </c>
      <c r="BA26" s="89" t="s">
        <v>12</v>
      </c>
      <c r="BB26" s="89" t="s">
        <v>13</v>
      </c>
      <c r="BC26" s="90"/>
      <c r="BD26" s="91"/>
      <c r="BE26" s="89" t="s">
        <v>10</v>
      </c>
      <c r="BF26" s="89" t="s">
        <v>11</v>
      </c>
      <c r="BG26" s="89" t="s">
        <v>12</v>
      </c>
      <c r="BH26" s="89" t="s">
        <v>13</v>
      </c>
      <c r="BI26" s="90"/>
      <c r="BJ26" s="91"/>
      <c r="BK26" s="89" t="s">
        <v>10</v>
      </c>
      <c r="BL26" s="89" t="s">
        <v>11</v>
      </c>
      <c r="BM26" s="89" t="s">
        <v>12</v>
      </c>
      <c r="BN26" s="89" t="s">
        <v>13</v>
      </c>
      <c r="BO26" s="90"/>
      <c r="BP26" s="91"/>
      <c r="BQ26" s="89" t="s">
        <v>10</v>
      </c>
      <c r="BR26" s="89" t="s">
        <v>11</v>
      </c>
      <c r="BS26" s="89" t="s">
        <v>12</v>
      </c>
      <c r="BT26" s="89" t="s">
        <v>13</v>
      </c>
      <c r="BU26" s="90"/>
      <c r="BV26" s="91"/>
      <c r="BW26" s="89" t="s">
        <v>10</v>
      </c>
      <c r="BX26" s="89"/>
      <c r="BY26" s="89"/>
      <c r="BZ26" s="89"/>
      <c r="CA26" s="90"/>
      <c r="CC26" s="89" t="s">
        <v>10</v>
      </c>
      <c r="CD26" s="89"/>
      <c r="CE26" s="89"/>
      <c r="CF26" s="89"/>
      <c r="CG26" s="90"/>
      <c r="CI26" s="89" t="s">
        <v>10</v>
      </c>
      <c r="CJ26" s="89"/>
      <c r="CK26" s="89"/>
      <c r="CL26" s="89"/>
      <c r="CM26" s="90"/>
      <c r="CO26" s="89" t="s">
        <v>10</v>
      </c>
      <c r="CP26" s="89"/>
      <c r="CQ26" s="89"/>
      <c r="CR26" s="89"/>
      <c r="CS26" s="90"/>
    </row>
    <row r="27" spans="1:97" x14ac:dyDescent="0.2">
      <c r="A27" s="2" t="s">
        <v>91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75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75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75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75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75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75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75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75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75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75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75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75"/>
      <c r="BV27" s="31"/>
      <c r="BW27" s="31">
        <v>72.7</v>
      </c>
      <c r="BX27" s="31">
        <v>72.8</v>
      </c>
      <c r="BY27" s="31">
        <v>72.8</v>
      </c>
      <c r="BZ27" s="31">
        <v>72.8</v>
      </c>
      <c r="CA27" s="75"/>
      <c r="CC27" s="31">
        <v>72.8</v>
      </c>
      <c r="CD27" s="31">
        <v>72.8</v>
      </c>
      <c r="CE27" s="31">
        <v>72.8</v>
      </c>
      <c r="CF27" s="31">
        <v>72.8</v>
      </c>
      <c r="CG27" s="75"/>
      <c r="CI27" s="31">
        <v>72.8</v>
      </c>
      <c r="CJ27" s="31">
        <v>72.8</v>
      </c>
      <c r="CK27" s="31">
        <v>72.8</v>
      </c>
      <c r="CL27" s="31">
        <v>73.2</v>
      </c>
      <c r="CM27" s="75"/>
      <c r="CO27" s="31">
        <v>73.3</v>
      </c>
      <c r="CP27" s="31"/>
      <c r="CQ27" s="31"/>
      <c r="CR27" s="31"/>
      <c r="CS27" s="75"/>
    </row>
    <row r="28" spans="1:97" x14ac:dyDescent="0.2">
      <c r="A28" s="2" t="s">
        <v>92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75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75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75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75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75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75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75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75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75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75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75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75"/>
      <c r="BV28" s="31"/>
      <c r="BW28" s="31">
        <v>971.5</v>
      </c>
      <c r="BX28" s="31">
        <v>982.2</v>
      </c>
      <c r="BY28" s="85">
        <f>+'Balance Sheet'!BM21</f>
        <v>993.3</v>
      </c>
      <c r="BZ28" s="85">
        <f>+'Balance Sheet'!BN21</f>
        <v>816.3</v>
      </c>
      <c r="CA28" s="75"/>
      <c r="CC28" s="31">
        <v>774.9</v>
      </c>
      <c r="CD28" s="31">
        <v>767.2</v>
      </c>
      <c r="CE28" s="85">
        <v>774.5</v>
      </c>
      <c r="CF28" s="85">
        <f>745.6-2.4</f>
        <v>743.2</v>
      </c>
      <c r="CG28" s="75"/>
      <c r="CI28" s="31">
        <v>713.8</v>
      </c>
      <c r="CJ28" s="31">
        <v>687.7</v>
      </c>
      <c r="CK28" s="85">
        <v>656</v>
      </c>
      <c r="CL28" s="85">
        <v>651.4</v>
      </c>
      <c r="CM28" s="75"/>
      <c r="CO28" s="31">
        <v>569.5</v>
      </c>
      <c r="CP28" s="31"/>
      <c r="CQ28" s="85"/>
      <c r="CR28" s="85"/>
      <c r="CS28" s="75"/>
    </row>
    <row r="29" spans="1:97" x14ac:dyDescent="0.2">
      <c r="A29" s="2" t="s">
        <v>177</v>
      </c>
      <c r="C29" s="31"/>
      <c r="D29" s="31"/>
      <c r="E29" s="31"/>
      <c r="F29" s="31"/>
      <c r="G29" s="75"/>
      <c r="H29" s="31"/>
      <c r="I29" s="31"/>
      <c r="J29" s="31"/>
      <c r="K29" s="31"/>
      <c r="L29" s="31"/>
      <c r="M29" s="75"/>
      <c r="N29" s="31"/>
      <c r="O29" s="31"/>
      <c r="P29" s="31"/>
      <c r="Q29" s="31"/>
      <c r="R29" s="31"/>
      <c r="S29" s="75"/>
      <c r="T29" s="31"/>
      <c r="U29" s="31"/>
      <c r="V29" s="31"/>
      <c r="W29" s="31"/>
      <c r="X29" s="31"/>
      <c r="Y29" s="75"/>
      <c r="Z29" s="31"/>
      <c r="AA29" s="31"/>
      <c r="AB29" s="31"/>
      <c r="AC29" s="31"/>
      <c r="AD29" s="31"/>
      <c r="AE29" s="75"/>
      <c r="AF29" s="31"/>
      <c r="AG29" s="31"/>
      <c r="AH29" s="31"/>
      <c r="AI29" s="31"/>
      <c r="AJ29" s="31"/>
      <c r="AK29" s="75"/>
      <c r="AL29" s="31"/>
      <c r="AM29" s="31"/>
      <c r="AN29" s="31"/>
      <c r="AO29" s="31"/>
      <c r="AP29" s="31"/>
      <c r="AQ29" s="75"/>
      <c r="AR29" s="31"/>
      <c r="AS29" s="31"/>
      <c r="AT29" s="31"/>
      <c r="AU29" s="31"/>
      <c r="AV29" s="31"/>
      <c r="AW29" s="75"/>
      <c r="AX29" s="31"/>
      <c r="AY29" s="31"/>
      <c r="AZ29" s="31"/>
      <c r="BA29" s="31"/>
      <c r="BB29" s="31"/>
      <c r="BC29" s="75"/>
      <c r="BD29" s="31"/>
      <c r="BE29" s="31"/>
      <c r="BF29" s="31"/>
      <c r="BG29" s="31"/>
      <c r="BH29" s="31"/>
      <c r="BI29" s="75"/>
      <c r="BJ29" s="31"/>
      <c r="BK29" s="31"/>
      <c r="BL29" s="31"/>
      <c r="BM29" s="31"/>
      <c r="BN29" s="31"/>
      <c r="BO29" s="75"/>
      <c r="BP29" s="31"/>
      <c r="BQ29" s="31"/>
      <c r="BR29" s="31"/>
      <c r="BS29" s="31"/>
      <c r="BT29" s="31"/>
      <c r="BU29" s="75"/>
      <c r="BV29" s="31"/>
      <c r="BW29" s="31"/>
      <c r="BX29" s="31"/>
      <c r="BY29" s="85"/>
      <c r="BZ29" s="85"/>
      <c r="CA29" s="75"/>
      <c r="CC29" s="31"/>
      <c r="CD29" s="31"/>
      <c r="CE29" s="85">
        <v>150</v>
      </c>
      <c r="CF29" s="85">
        <f>150+2.4</f>
        <v>152.4</v>
      </c>
      <c r="CG29" s="75"/>
      <c r="CI29" s="31">
        <v>154.4</v>
      </c>
      <c r="CJ29" s="31">
        <v>156.4</v>
      </c>
      <c r="CK29" s="85">
        <v>150.30000000000001</v>
      </c>
      <c r="CL29" s="85">
        <v>152.4</v>
      </c>
      <c r="CM29" s="75"/>
      <c r="CO29" s="31">
        <v>154.4</v>
      </c>
      <c r="CP29" s="31"/>
      <c r="CQ29" s="85"/>
      <c r="CR29" s="85"/>
      <c r="CS29" s="75"/>
    </row>
    <row r="30" spans="1:97" x14ac:dyDescent="0.2">
      <c r="A30" s="2" t="s">
        <v>24</v>
      </c>
      <c r="C30" s="31">
        <v>795.57046979865765</v>
      </c>
      <c r="D30" s="31">
        <v>810.20134228187919</v>
      </c>
      <c r="E30" s="31">
        <v>819.73154362416108</v>
      </c>
      <c r="F30" s="31">
        <v>829.1275167785235</v>
      </c>
      <c r="G30" s="75"/>
      <c r="H30" s="31"/>
      <c r="I30" s="31">
        <v>866.71140939597308</v>
      </c>
      <c r="J30" s="31">
        <v>928.32214765100673</v>
      </c>
      <c r="K30" s="31">
        <v>924.83221476510062</v>
      </c>
      <c r="L30" s="31">
        <v>986.57718120805362</v>
      </c>
      <c r="M30" s="75"/>
      <c r="N30" s="31"/>
      <c r="O30" s="31">
        <v>1072.4832214765102</v>
      </c>
      <c r="P30" s="31">
        <v>1152.7516778523491</v>
      </c>
      <c r="Q30" s="31">
        <v>1229.6644295302012</v>
      </c>
      <c r="R30" s="31">
        <v>1221.3422818791946</v>
      </c>
      <c r="S30" s="75"/>
      <c r="T30" s="31"/>
      <c r="U30" s="31">
        <v>1295.9731543624162</v>
      </c>
      <c r="V30" s="31">
        <v>1373.2885906040269</v>
      </c>
      <c r="W30" s="31">
        <v>1383.7583892617449</v>
      </c>
      <c r="X30" s="31">
        <v>1333.5570469798658</v>
      </c>
      <c r="Y30" s="75"/>
      <c r="Z30" s="31"/>
      <c r="AA30" s="31">
        <v>1306.6979865771812</v>
      </c>
      <c r="AB30" s="31">
        <v>1327.3825503355704</v>
      </c>
      <c r="AC30" s="31">
        <v>1354.765100671141</v>
      </c>
      <c r="AD30" s="31">
        <v>1358.9261744966443</v>
      </c>
      <c r="AE30" s="75"/>
      <c r="AF30" s="31"/>
      <c r="AG30" s="31">
        <v>1498.1208053691275</v>
      </c>
      <c r="AH30" s="31">
        <v>1628.724832214765</v>
      </c>
      <c r="AI30" s="31">
        <v>1658.1208053691275</v>
      </c>
      <c r="AJ30" s="31">
        <v>1685.3691275167785</v>
      </c>
      <c r="AK30" s="75"/>
      <c r="AL30" s="31"/>
      <c r="AM30" s="31">
        <v>1833.5570469798656</v>
      </c>
      <c r="AN30" s="31">
        <v>1816.1073825503356</v>
      </c>
      <c r="AO30" s="31">
        <v>1826.4429530201342</v>
      </c>
      <c r="AP30" s="31">
        <v>1803.8926174496644</v>
      </c>
      <c r="AQ30" s="75"/>
      <c r="AR30" s="31"/>
      <c r="AS30" s="31">
        <v>1848.4563758389261</v>
      </c>
      <c r="AT30" s="31">
        <v>1796.6442953020135</v>
      </c>
      <c r="AU30" s="31">
        <v>1772.8859060402683</v>
      </c>
      <c r="AV30" s="31">
        <v>1736.3758389261745</v>
      </c>
      <c r="AW30" s="75"/>
      <c r="AX30" s="31"/>
      <c r="AY30" s="31">
        <v>1833.6912751677851</v>
      </c>
      <c r="AZ30" s="31">
        <v>1804.6979865771812</v>
      </c>
      <c r="BA30" s="31">
        <f>(+'Balance Sheet'!AS30)/7.45</f>
        <v>243.84487185261926</v>
      </c>
      <c r="BB30" s="31">
        <v>1744.2953020134228</v>
      </c>
      <c r="BC30" s="75"/>
      <c r="BD30" s="31"/>
      <c r="BE30" s="31">
        <f>(+'Balance Sheet'!AV30)/7.45</f>
        <v>236.71005810549073</v>
      </c>
      <c r="BF30" s="31">
        <f>(+'Balance Sheet'!AW30)/7.45</f>
        <v>235.14256114589432</v>
      </c>
      <c r="BG30" s="31">
        <f>(+'Balance Sheet'!AX30)/7.45</f>
        <v>242.00711679654069</v>
      </c>
      <c r="BH30" s="31">
        <f>(+'Balance Sheet'!AY30)/7.45</f>
        <v>222.29629295977659</v>
      </c>
      <c r="BI30" s="75"/>
      <c r="BJ30" s="31"/>
      <c r="BK30" s="31">
        <f>(+'Balance Sheet'!BA18)/7.45</f>
        <v>248.51132831854417</v>
      </c>
      <c r="BL30" s="31">
        <v>1860.6711409395973</v>
      </c>
      <c r="BM30" s="31">
        <v>1735.8389261744967</v>
      </c>
      <c r="BN30" s="31">
        <v>1683.6</v>
      </c>
      <c r="BO30" s="75"/>
      <c r="BP30" s="31"/>
      <c r="BQ30" s="31">
        <f>+'Balance Sheet'!BF18</f>
        <v>1736.4</v>
      </c>
      <c r="BR30" s="31">
        <v>1787.2</v>
      </c>
      <c r="BS30" s="31">
        <v>1728.6</v>
      </c>
      <c r="BT30" s="31">
        <v>1747.1</v>
      </c>
      <c r="BU30" s="75"/>
      <c r="BV30" s="31"/>
      <c r="BW30" s="31">
        <f>+'Balance Sheet'!BK18</f>
        <v>2682.4</v>
      </c>
      <c r="BX30" s="31">
        <v>2809</v>
      </c>
      <c r="BY30" s="31">
        <f>+'Balance Sheet'!BM18</f>
        <v>2785.5</v>
      </c>
      <c r="BZ30" s="31">
        <f>+'Balance Sheet'!BN18</f>
        <v>1904.6000000000001</v>
      </c>
      <c r="CA30" s="75"/>
      <c r="CC30" s="31">
        <f>+'Balance Sheet'!BP18</f>
        <v>1923.3000000000002</v>
      </c>
      <c r="CD30" s="85">
        <v>1926.4</v>
      </c>
      <c r="CE30" s="31">
        <f>+'Balance Sheet'!BR18</f>
        <v>1938</v>
      </c>
      <c r="CF30" s="31">
        <f>+'Balance Sheet'!BS18</f>
        <v>1859.2000000000003</v>
      </c>
      <c r="CG30" s="75"/>
      <c r="CI30" s="31">
        <f>+'Balance Sheet'!BU18</f>
        <v>1867.8</v>
      </c>
      <c r="CJ30" s="85">
        <f>+'Balance Sheet'!BV18</f>
        <v>1895.8999999999999</v>
      </c>
      <c r="CK30" s="31">
        <v>1886.3</v>
      </c>
      <c r="CL30" s="31">
        <v>1789.4</v>
      </c>
      <c r="CM30" s="75"/>
      <c r="CO30" s="31">
        <f>+'Balance Sheet'!BZ18</f>
        <v>1795.7999999999997</v>
      </c>
      <c r="CP30" s="85"/>
      <c r="CQ30" s="31"/>
      <c r="CR30" s="31"/>
      <c r="CS30" s="75"/>
    </row>
    <row r="31" spans="1:97" x14ac:dyDescent="0.2">
      <c r="A31" s="2" t="s">
        <v>128</v>
      </c>
      <c r="C31" s="31">
        <v>-45.234899328859058</v>
      </c>
      <c r="D31" s="31">
        <v>-75.033557046979865</v>
      </c>
      <c r="E31" s="31">
        <v>-115.16778523489933</v>
      </c>
      <c r="F31" s="31">
        <v>-102.5503355704698</v>
      </c>
      <c r="G31" s="75"/>
      <c r="H31" s="31"/>
      <c r="I31" s="31">
        <v>-157.85234899328859</v>
      </c>
      <c r="J31" s="31">
        <v>-163.89261744966441</v>
      </c>
      <c r="K31" s="31">
        <v>-156.77852348993289</v>
      </c>
      <c r="L31" s="31">
        <v>-137.31543624161074</v>
      </c>
      <c r="M31" s="75"/>
      <c r="N31" s="31"/>
      <c r="O31" s="31">
        <v>-266.71140939597313</v>
      </c>
      <c r="P31" s="31">
        <v>-311.27516778523488</v>
      </c>
      <c r="Q31" s="31">
        <v>-309.53020134228188</v>
      </c>
      <c r="R31" s="31">
        <v>-267.78523489932883</v>
      </c>
      <c r="S31" s="75"/>
      <c r="T31" s="31"/>
      <c r="U31" s="31">
        <v>-297.31543624161071</v>
      </c>
      <c r="V31" s="31">
        <v>-379.19463087248323</v>
      </c>
      <c r="W31" s="31">
        <v>-378.65771812080538</v>
      </c>
      <c r="X31" s="31">
        <v>-303.3557046979866</v>
      </c>
      <c r="Y31" s="75"/>
      <c r="Z31" s="31"/>
      <c r="AA31" s="31">
        <v>-306.4832214765101</v>
      </c>
      <c r="AB31" s="31">
        <v>-347.24832214765098</v>
      </c>
      <c r="AC31" s="31">
        <v>-359.86577181208054</v>
      </c>
      <c r="AD31" s="31">
        <v>-365.7718120805369</v>
      </c>
      <c r="AE31" s="75"/>
      <c r="AF31" s="31"/>
      <c r="AG31" s="31">
        <v>-455.57046979865771</v>
      </c>
      <c r="AH31" s="31">
        <v>-508.72483221476512</v>
      </c>
      <c r="AI31" s="31">
        <v>-556.24161073825508</v>
      </c>
      <c r="AJ31" s="31">
        <v>-551.00671140939596</v>
      </c>
      <c r="AK31" s="75"/>
      <c r="AL31" s="31"/>
      <c r="AM31" s="31">
        <v>-647.11409395973158</v>
      </c>
      <c r="AN31" s="31">
        <v>-663.08724832214762</v>
      </c>
      <c r="AO31" s="31">
        <v>-640.40268456375838</v>
      </c>
      <c r="AP31" s="31">
        <f>(-4429)/7.45</f>
        <v>-594.49664429530196</v>
      </c>
      <c r="AQ31" s="75"/>
      <c r="AR31" s="31"/>
      <c r="AS31" s="31">
        <v>-602.81879194630869</v>
      </c>
      <c r="AT31" s="31">
        <v>-361.34228187919462</v>
      </c>
      <c r="AU31" s="31">
        <v>-369.26174496644296</v>
      </c>
      <c r="AV31" s="31">
        <v>-256.24161073825502</v>
      </c>
      <c r="AW31" s="75"/>
      <c r="AX31" s="31"/>
      <c r="AY31" s="31">
        <v>-372.6174496644295</v>
      </c>
      <c r="AZ31" s="31">
        <v>-381.07382550335569</v>
      </c>
      <c r="BA31" s="31">
        <v>-369.53020134228188</v>
      </c>
      <c r="BB31" s="31">
        <v>-283.3557046979866</v>
      </c>
      <c r="BC31" s="75"/>
      <c r="BD31" s="31"/>
      <c r="BE31" s="31">
        <v>-268.32214765100673</v>
      </c>
      <c r="BF31" s="31">
        <v>-269.53020134228188</v>
      </c>
      <c r="BG31" s="31">
        <v>-284.42953020134229</v>
      </c>
      <c r="BH31" s="31">
        <v>-152.34899328859061</v>
      </c>
      <c r="BI31" s="75"/>
      <c r="BJ31" s="31"/>
      <c r="BK31" s="31">
        <v>-177.4496644295302</v>
      </c>
      <c r="BL31" s="31">
        <v>-193.02013422818791</v>
      </c>
      <c r="BM31" s="31">
        <v>-167.51677852348993</v>
      </c>
      <c r="BN31" s="31">
        <v>-88.9</v>
      </c>
      <c r="BO31" s="75"/>
      <c r="BP31" s="31"/>
      <c r="BQ31" s="31">
        <v>-158.9</v>
      </c>
      <c r="BR31" s="31">
        <v>-188.2</v>
      </c>
      <c r="BS31" s="31">
        <v>-174.6</v>
      </c>
      <c r="BT31" s="31">
        <v>68.400000000000006</v>
      </c>
      <c r="BU31" s="75"/>
      <c r="BV31" s="31"/>
      <c r="BW31" s="31">
        <v>-616.79999999999995</v>
      </c>
      <c r="BX31" s="31">
        <v>-742.3</v>
      </c>
      <c r="BY31" s="31">
        <v>-720.1</v>
      </c>
      <c r="BZ31" s="31">
        <v>-293.2</v>
      </c>
      <c r="CA31" s="75"/>
      <c r="CB31" s="199"/>
      <c r="CC31" s="31">
        <v>-432.7</v>
      </c>
      <c r="CD31" s="31">
        <v>-409.5</v>
      </c>
      <c r="CE31" s="31">
        <v>-307.5</v>
      </c>
      <c r="CF31" s="31">
        <v>-248.3</v>
      </c>
      <c r="CG31" s="75"/>
      <c r="CH31" s="199"/>
      <c r="CI31" s="31">
        <v>-339</v>
      </c>
      <c r="CJ31" s="31">
        <v>-336.1</v>
      </c>
      <c r="CK31" s="31">
        <v>-349.9</v>
      </c>
      <c r="CL31" s="31">
        <v>-242.2</v>
      </c>
      <c r="CM31" s="75"/>
      <c r="CO31" s="31">
        <v>-378.1</v>
      </c>
      <c r="CP31" s="31"/>
      <c r="CQ31" s="31"/>
      <c r="CR31" s="31"/>
      <c r="CS31" s="75"/>
    </row>
    <row r="32" spans="1:97" x14ac:dyDescent="0.2">
      <c r="A32" s="2" t="s">
        <v>31</v>
      </c>
      <c r="C32" s="31">
        <v>421.07382550335569</v>
      </c>
      <c r="D32" s="31">
        <v>445.7718120805369</v>
      </c>
      <c r="E32" s="31">
        <v>468.99328859060404</v>
      </c>
      <c r="F32" s="31">
        <v>469.66442953020135</v>
      </c>
      <c r="G32" s="75"/>
      <c r="H32" s="31"/>
      <c r="I32" s="31">
        <v>530.33557046979865</v>
      </c>
      <c r="J32" s="31">
        <v>512.48322147651004</v>
      </c>
      <c r="K32" s="31">
        <v>516.10738255033561</v>
      </c>
      <c r="L32" s="31">
        <v>513.95973154362412</v>
      </c>
      <c r="M32" s="75"/>
      <c r="N32" s="31"/>
      <c r="O32" s="31">
        <v>656.91275167785238</v>
      </c>
      <c r="P32" s="31">
        <v>696.77852348993292</v>
      </c>
      <c r="Q32" s="31">
        <v>710.73825503355704</v>
      </c>
      <c r="R32" s="31">
        <v>671.81208053691273</v>
      </c>
      <c r="S32" s="75"/>
      <c r="T32" s="31"/>
      <c r="U32" s="31">
        <v>750.46979865771812</v>
      </c>
      <c r="V32" s="31">
        <v>835.16778523489927</v>
      </c>
      <c r="W32" s="31">
        <v>867.78523489932888</v>
      </c>
      <c r="X32" s="31">
        <v>768.45637583892619</v>
      </c>
      <c r="Y32" s="75"/>
      <c r="Z32" s="31"/>
      <c r="AA32" s="31">
        <v>774.01342281879192</v>
      </c>
      <c r="AB32" s="31">
        <v>822.68456375838923</v>
      </c>
      <c r="AC32" s="31">
        <v>840.26845637583892</v>
      </c>
      <c r="AD32" s="31">
        <v>867.78523489932888</v>
      </c>
      <c r="AE32" s="75"/>
      <c r="AF32" s="31"/>
      <c r="AG32" s="31">
        <v>969.93288590604027</v>
      </c>
      <c r="AH32" s="31">
        <v>1052.7516778523491</v>
      </c>
      <c r="AI32" s="31">
        <v>1093.020134228188</v>
      </c>
      <c r="AJ32" s="31">
        <v>1103.0872483221476</v>
      </c>
      <c r="AK32" s="75"/>
      <c r="AL32" s="31"/>
      <c r="AM32" s="31">
        <f>(+'OLD Segment Data 2005-2019'!AM78)/7.45</f>
        <v>158.80365749290573</v>
      </c>
      <c r="AN32" s="31">
        <f>(+'OLD Segment Data 2005-2019'!AN78)/7.45</f>
        <v>160.85761902616997</v>
      </c>
      <c r="AO32" s="31">
        <f>(+'OLD Segment Data 2005-2019'!AO78)/7.45</f>
        <v>158.13702085491641</v>
      </c>
      <c r="AP32" s="31">
        <f>(+'OLD Segment Data 2005-2019'!AP78)/7.45</f>
        <v>153.07418584748433</v>
      </c>
      <c r="AQ32" s="75"/>
      <c r="AR32" s="31"/>
      <c r="AS32" s="31">
        <f>(+'OLD Segment Data 2005-2019'!AS78)/7.45</f>
        <v>156.04702490878788</v>
      </c>
      <c r="AT32" s="31">
        <v>1107.3825503355704</v>
      </c>
      <c r="AU32" s="31">
        <v>1128.5906040268455</v>
      </c>
      <c r="AV32" s="31">
        <v>1026.3087248322147</v>
      </c>
      <c r="AW32" s="75"/>
      <c r="AX32" s="31"/>
      <c r="AY32" s="31">
        <f>(+'OLD Segment Data 2005-2019'!AY78)</f>
        <v>1121.4765100671141</v>
      </c>
      <c r="AZ32" s="31">
        <f>(+'OLD Segment Data 2005-2019'!AZ78)</f>
        <v>1134.0939597315437</v>
      </c>
      <c r="BA32" s="31">
        <f>(+'OLD Segment Data 2005-2019'!BA78)</f>
        <v>1123.6241610738255</v>
      </c>
      <c r="BB32" s="31">
        <v>1044.9664429530201</v>
      </c>
      <c r="BC32" s="75"/>
      <c r="BD32" s="31"/>
      <c r="BE32" s="31">
        <f>(+'OLD Segment Data 2005-2019'!BE78)</f>
        <v>1020.8053691275167</v>
      </c>
      <c r="BF32" s="31">
        <f>(+'OLD Segment Data 2005-2019'!BF78)</f>
        <v>1033.4228187919464</v>
      </c>
      <c r="BG32" s="31">
        <f>(+'OLD Segment Data 2005-2019'!BG78)</f>
        <v>1078.9261744966443</v>
      </c>
      <c r="BH32" s="31">
        <f>(+'OLD Segment Data 2005-2019'!BH78)</f>
        <v>954.36241610738261</v>
      </c>
      <c r="BI32" s="75"/>
      <c r="BJ32" s="31"/>
      <c r="BK32" s="31">
        <f>(+'OLD Segment Data 2005-2019'!BK78)</f>
        <v>1025.234899328859</v>
      </c>
      <c r="BL32" s="31">
        <v>996.37583892617442</v>
      </c>
      <c r="BM32" s="31">
        <v>967.24832214765104</v>
      </c>
      <c r="BN32" s="31">
        <v>898.4</v>
      </c>
      <c r="BO32" s="75"/>
      <c r="BP32" s="31"/>
      <c r="BQ32" s="31">
        <f>(+'OLD Segment Data 2005-2019'!BQ78)</f>
        <v>974.9</v>
      </c>
      <c r="BR32" s="31">
        <f>(+'OLD Segment Data 2005-2019'!BR78)</f>
        <v>989.9</v>
      </c>
      <c r="BS32" s="31">
        <v>934.8</v>
      </c>
      <c r="BT32" s="31">
        <v>883</v>
      </c>
      <c r="BU32" s="75"/>
      <c r="BV32" s="31"/>
      <c r="BW32" s="31">
        <f>(+'OLD Segment Data 2005-2019'!BW78)</f>
        <v>1588.3</v>
      </c>
      <c r="BX32" s="31">
        <v>1724.5</v>
      </c>
      <c r="BY32" s="31">
        <f>+'OLD Segment Data 2005-2019'!BY78</f>
        <v>1713.4</v>
      </c>
      <c r="BZ32" s="31">
        <f>+'OLD Segment Data 2005-2019'!BZ78</f>
        <v>1109.5000000000002</v>
      </c>
      <c r="CA32" s="75"/>
      <c r="CC32" s="31">
        <f>(+'OLD Segment Data 2005-2019'!CC78)</f>
        <v>1207.5999999999999</v>
      </c>
      <c r="CD32" s="31">
        <f>(+'OLD Segment Data 2005-2019'!CD78)</f>
        <v>1176.7</v>
      </c>
      <c r="CE32" s="31">
        <f>(+'OLD Segment Data 2005-2019'!CE78)</f>
        <v>1232</v>
      </c>
      <c r="CF32" s="31">
        <f>(+'OLD Segment Data 2005-2019'!CF78)</f>
        <v>1143.8999999999999</v>
      </c>
      <c r="CG32" s="75"/>
      <c r="CI32" s="31">
        <f>(+'OLD Segment Data 2005-2019'!CI78)</f>
        <v>1207.2</v>
      </c>
      <c r="CJ32" s="31">
        <v>1180.2</v>
      </c>
      <c r="CK32" s="31">
        <f>(+'OLD Segment Data 2005-2019'!CK78)</f>
        <v>1156.2</v>
      </c>
      <c r="CL32" s="31">
        <f>(+'OLD Segment Data 2005-2019'!CL78)</f>
        <v>1046</v>
      </c>
      <c r="CM32" s="75"/>
      <c r="CO32" s="31">
        <f>+'Segment Data 2017-2020'!U91</f>
        <v>1102</v>
      </c>
      <c r="CP32" s="31"/>
      <c r="CQ32" s="31"/>
      <c r="CR32" s="31"/>
      <c r="CS32" s="75"/>
    </row>
    <row r="33" spans="1:97" x14ac:dyDescent="0.2">
      <c r="C33" s="31"/>
      <c r="D33" s="31"/>
      <c r="E33" s="31"/>
      <c r="F33" s="31"/>
      <c r="G33" s="75"/>
      <c r="H33" s="31"/>
      <c r="I33" s="31"/>
      <c r="J33" s="31"/>
      <c r="K33" s="31"/>
      <c r="L33" s="31"/>
      <c r="M33" s="75"/>
      <c r="N33" s="31"/>
      <c r="O33" s="31"/>
      <c r="P33" s="31"/>
      <c r="Q33" s="31"/>
      <c r="R33" s="31"/>
      <c r="S33" s="75"/>
      <c r="T33" s="31"/>
      <c r="U33" s="31"/>
      <c r="V33" s="31"/>
      <c r="W33" s="31"/>
      <c r="X33" s="31"/>
      <c r="Y33" s="75"/>
      <c r="Z33" s="31"/>
      <c r="AA33" s="31"/>
      <c r="AB33" s="31"/>
      <c r="AC33" s="31"/>
      <c r="AD33" s="31"/>
      <c r="AE33" s="75"/>
      <c r="AF33" s="31"/>
      <c r="AG33" s="31"/>
      <c r="AH33" s="31"/>
      <c r="AI33" s="31"/>
      <c r="AJ33" s="31"/>
      <c r="AK33" s="75"/>
      <c r="AL33" s="31"/>
      <c r="AM33" s="31"/>
      <c r="AN33" s="31"/>
      <c r="AO33" s="31"/>
      <c r="AP33" s="31"/>
      <c r="AQ33" s="75"/>
      <c r="AR33" s="31"/>
      <c r="AS33" s="31"/>
      <c r="AT33" s="31"/>
      <c r="AU33" s="31"/>
      <c r="AV33" s="31"/>
      <c r="AW33" s="75"/>
      <c r="AX33" s="31"/>
      <c r="AY33" s="31"/>
      <c r="AZ33" s="31"/>
      <c r="BA33" s="31"/>
      <c r="BB33" s="31"/>
      <c r="BC33" s="75"/>
      <c r="BD33" s="31"/>
      <c r="BE33" s="31"/>
      <c r="BF33" s="31"/>
      <c r="BG33" s="31"/>
      <c r="BH33" s="31"/>
      <c r="BI33" s="75"/>
      <c r="BJ33" s="31"/>
      <c r="BK33" s="31"/>
      <c r="BL33" s="31"/>
      <c r="BM33" s="31"/>
      <c r="BN33" s="31"/>
      <c r="BO33" s="75"/>
      <c r="BP33" s="31"/>
      <c r="BQ33" s="31"/>
      <c r="BR33" s="31"/>
      <c r="BS33" s="31"/>
      <c r="BT33" s="31"/>
      <c r="BU33" s="75"/>
      <c r="BV33" s="31"/>
      <c r="BW33" s="31"/>
      <c r="BX33" s="31"/>
      <c r="BY33" s="31"/>
      <c r="BZ33" s="31"/>
      <c r="CA33" s="75"/>
      <c r="CC33" s="31"/>
      <c r="CD33" s="31"/>
      <c r="CE33" s="31"/>
      <c r="CF33" s="31"/>
      <c r="CG33" s="75"/>
      <c r="CI33" s="31"/>
      <c r="CJ33" s="31"/>
      <c r="CK33" s="31"/>
      <c r="CL33" s="31"/>
      <c r="CM33" s="75"/>
      <c r="CO33" s="31"/>
      <c r="CP33" s="31"/>
      <c r="CQ33" s="31"/>
      <c r="CR33" s="31"/>
      <c r="CS33" s="75"/>
    </row>
    <row r="34" spans="1:97" s="45" customFormat="1" x14ac:dyDescent="0.2">
      <c r="A34" s="43" t="s">
        <v>43</v>
      </c>
      <c r="C34" s="89"/>
      <c r="D34" s="89"/>
      <c r="E34" s="89"/>
      <c r="F34" s="89"/>
      <c r="G34" s="90"/>
      <c r="H34" s="92"/>
      <c r="I34" s="89"/>
      <c r="J34" s="89"/>
      <c r="K34" s="89"/>
      <c r="L34" s="89"/>
      <c r="M34" s="90"/>
      <c r="N34" s="92"/>
      <c r="O34" s="89"/>
      <c r="P34" s="89"/>
      <c r="Q34" s="89"/>
      <c r="R34" s="89"/>
      <c r="S34" s="90"/>
      <c r="T34" s="92"/>
      <c r="U34" s="89"/>
      <c r="V34" s="89"/>
      <c r="W34" s="89"/>
      <c r="X34" s="89"/>
      <c r="Y34" s="90"/>
      <c r="Z34" s="92"/>
      <c r="AA34" s="89"/>
      <c r="AB34" s="89"/>
      <c r="AC34" s="89"/>
      <c r="AD34" s="89"/>
      <c r="AE34" s="90"/>
      <c r="AF34" s="92"/>
      <c r="AG34" s="89"/>
      <c r="AH34" s="89"/>
      <c r="AI34" s="89"/>
      <c r="AJ34" s="89"/>
      <c r="AK34" s="90"/>
      <c r="AL34" s="92"/>
      <c r="AM34" s="89"/>
      <c r="AN34" s="89"/>
      <c r="AO34" s="89"/>
      <c r="AP34" s="89"/>
      <c r="AQ34" s="90"/>
      <c r="AR34" s="92"/>
      <c r="AS34" s="89"/>
      <c r="AT34" s="89"/>
      <c r="AU34" s="89"/>
      <c r="AV34" s="89"/>
      <c r="AW34" s="90"/>
      <c r="AX34" s="92"/>
      <c r="AY34" s="89"/>
      <c r="AZ34" s="89"/>
      <c r="BA34" s="89"/>
      <c r="BB34" s="89"/>
      <c r="BC34" s="90"/>
      <c r="BD34" s="92"/>
      <c r="BE34" s="89"/>
      <c r="BF34" s="89"/>
      <c r="BG34" s="89"/>
      <c r="BH34" s="89"/>
      <c r="BI34" s="90"/>
      <c r="BJ34" s="92"/>
      <c r="BK34" s="89"/>
      <c r="BL34" s="89"/>
      <c r="BM34" s="89"/>
      <c r="BN34" s="89"/>
      <c r="BO34" s="90"/>
      <c r="BP34" s="92"/>
      <c r="BQ34" s="89"/>
      <c r="BR34" s="89"/>
      <c r="BS34" s="89"/>
      <c r="BT34" s="89"/>
      <c r="BU34" s="90"/>
      <c r="BV34" s="92"/>
      <c r="BW34" s="89"/>
      <c r="BX34" s="89"/>
      <c r="BY34" s="89"/>
      <c r="BZ34" s="89"/>
      <c r="CA34" s="90"/>
      <c r="CC34" s="89"/>
      <c r="CD34" s="89"/>
      <c r="CE34" s="89"/>
      <c r="CF34" s="89"/>
      <c r="CG34" s="90"/>
      <c r="CI34" s="89"/>
      <c r="CJ34" s="89"/>
      <c r="CK34" s="89"/>
      <c r="CL34" s="89"/>
      <c r="CM34" s="90"/>
      <c r="CO34" s="89"/>
      <c r="CP34" s="89"/>
      <c r="CQ34" s="89"/>
      <c r="CR34" s="89"/>
      <c r="CS34" s="90"/>
    </row>
    <row r="35" spans="1:97" ht="3.75" customHeight="1" x14ac:dyDescent="0.2">
      <c r="C35" s="31"/>
      <c r="D35" s="31"/>
      <c r="E35" s="31"/>
      <c r="F35" s="31"/>
      <c r="G35" s="75"/>
      <c r="H35" s="31"/>
      <c r="I35" s="31"/>
      <c r="J35" s="31"/>
      <c r="K35" s="31"/>
      <c r="L35" s="31"/>
      <c r="M35" s="75"/>
      <c r="N35" s="31"/>
      <c r="O35" s="31"/>
      <c r="P35" s="31"/>
      <c r="Q35" s="31"/>
      <c r="R35" s="31"/>
      <c r="S35" s="75"/>
      <c r="T35" s="31"/>
      <c r="U35" s="31"/>
      <c r="V35" s="31"/>
      <c r="W35" s="31"/>
      <c r="X35" s="31"/>
      <c r="Y35" s="75"/>
      <c r="Z35" s="31"/>
      <c r="AA35" s="31"/>
      <c r="AB35" s="31"/>
      <c r="AC35" s="31"/>
      <c r="AD35" s="31"/>
      <c r="AE35" s="75"/>
      <c r="AF35" s="31"/>
      <c r="AG35" s="31"/>
      <c r="AH35" s="31"/>
      <c r="AI35" s="31"/>
      <c r="AJ35" s="31"/>
      <c r="AK35" s="75"/>
      <c r="AL35" s="31"/>
      <c r="AM35" s="31"/>
      <c r="AN35" s="31"/>
      <c r="AO35" s="31"/>
      <c r="AP35" s="31"/>
      <c r="AQ35" s="75"/>
      <c r="AR35" s="31"/>
      <c r="AS35" s="31"/>
      <c r="AT35" s="31"/>
      <c r="AU35" s="31"/>
      <c r="AV35" s="31"/>
      <c r="AW35" s="75"/>
      <c r="AX35" s="31"/>
      <c r="AY35" s="31"/>
      <c r="AZ35" s="31"/>
      <c r="BA35" s="31"/>
      <c r="BB35" s="31"/>
      <c r="BC35" s="75"/>
      <c r="BD35" s="31"/>
      <c r="BE35" s="31"/>
      <c r="BF35" s="31"/>
      <c r="BG35" s="31"/>
      <c r="BH35" s="31"/>
      <c r="BI35" s="75"/>
      <c r="BJ35" s="31"/>
      <c r="BK35" s="31"/>
      <c r="BL35" s="31"/>
      <c r="BM35" s="31"/>
      <c r="BN35" s="31"/>
      <c r="BO35" s="75"/>
      <c r="BP35" s="31"/>
      <c r="BQ35" s="31"/>
      <c r="BR35" s="31"/>
      <c r="BS35" s="31"/>
      <c r="BT35" s="31"/>
      <c r="BU35" s="75"/>
      <c r="BV35" s="31"/>
      <c r="BW35" s="31"/>
      <c r="BX35" s="31"/>
      <c r="BY35" s="31"/>
      <c r="BZ35" s="31"/>
      <c r="CA35" s="75"/>
      <c r="CC35" s="31"/>
      <c r="CD35" s="31"/>
      <c r="CE35" s="31"/>
      <c r="CF35" s="31"/>
      <c r="CG35" s="75"/>
      <c r="CI35" s="31"/>
      <c r="CJ35" s="31"/>
      <c r="CK35" s="31"/>
      <c r="CL35" s="31"/>
      <c r="CM35" s="75"/>
      <c r="CO35" s="31"/>
      <c r="CP35" s="31"/>
      <c r="CQ35" s="31"/>
      <c r="CR35" s="31"/>
      <c r="CS35" s="75"/>
    </row>
    <row r="36" spans="1:97" x14ac:dyDescent="0.2">
      <c r="A36" s="2" t="s">
        <v>56</v>
      </c>
      <c r="C36" s="31">
        <v>-25.234899328859061</v>
      </c>
      <c r="D36" s="31">
        <v>2.6845637583892619</v>
      </c>
      <c r="E36" s="31">
        <v>7.3825503355704694</v>
      </c>
      <c r="F36" s="31">
        <v>20.671140939597315</v>
      </c>
      <c r="G36" s="75">
        <f>SUM(C36:F36)</f>
        <v>5.5033557046979862</v>
      </c>
      <c r="H36" s="31"/>
      <c r="I36" s="31">
        <v>-28.993288590604028</v>
      </c>
      <c r="J36" s="31">
        <v>10.604026845637584</v>
      </c>
      <c r="K36" s="31">
        <v>24.966442953020135</v>
      </c>
      <c r="L36" s="31">
        <v>28.993288590604028</v>
      </c>
      <c r="M36" s="75">
        <f>SUM(I36:L36)</f>
        <v>35.570469798657719</v>
      </c>
      <c r="N36" s="31"/>
      <c r="O36" s="31">
        <v>6.7114093959731544</v>
      </c>
      <c r="P36" s="31">
        <v>18.791946308724832</v>
      </c>
      <c r="Q36" s="31">
        <v>57.04697986577181</v>
      </c>
      <c r="R36" s="31">
        <v>73.422818791946312</v>
      </c>
      <c r="S36" s="75">
        <f>SUM(O36:R36)</f>
        <v>155.9731543624161</v>
      </c>
      <c r="T36" s="31"/>
      <c r="U36" s="31">
        <v>-33.557046979865774</v>
      </c>
      <c r="V36" s="31">
        <v>-3.087248322147651</v>
      </c>
      <c r="W36" s="31">
        <v>24.026845637583893</v>
      </c>
      <c r="X36" s="85">
        <v>115.03355704697987</v>
      </c>
      <c r="Y36" s="75">
        <f>SUM(U36:X36)</f>
        <v>102.41610738255034</v>
      </c>
      <c r="Z36" s="31"/>
      <c r="AA36" s="85">
        <v>22.416107382550337</v>
      </c>
      <c r="AB36" s="31">
        <v>2.8187919463087248</v>
      </c>
      <c r="AC36" s="85">
        <v>27.248322147651006</v>
      </c>
      <c r="AD36" s="85">
        <v>25.63758389261745</v>
      </c>
      <c r="AE36" s="75">
        <f>SUM(AA36:AD36)</f>
        <v>78.12080536912751</v>
      </c>
      <c r="AF36" s="31"/>
      <c r="AG36" s="85">
        <v>-29.664429530201343</v>
      </c>
      <c r="AH36" s="85">
        <v>-35.302013422818789</v>
      </c>
      <c r="AI36" s="85">
        <v>-20.134228187919462</v>
      </c>
      <c r="AJ36" s="85">
        <v>34.899328859060404</v>
      </c>
      <c r="AK36" s="75">
        <f>SUM(AG36:AJ36)</f>
        <v>-50.201342281879192</v>
      </c>
      <c r="AL36" s="31"/>
      <c r="AM36" s="85">
        <v>-80.909868924823215</v>
      </c>
      <c r="AN36" s="85">
        <v>-7.651006711409396</v>
      </c>
      <c r="AO36" s="85">
        <v>29.617584793477771</v>
      </c>
      <c r="AP36" s="85">
        <v>49.822080086482586</v>
      </c>
      <c r="AQ36" s="75">
        <f>SUM(AM36:AP36)</f>
        <v>-9.121210756272248</v>
      </c>
      <c r="AR36" s="31"/>
      <c r="AS36" s="85">
        <v>3.6241610738255035</v>
      </c>
      <c r="AT36" s="85">
        <v>8.8590604026845643</v>
      </c>
      <c r="AU36" s="85">
        <v>4.0268456375838921</v>
      </c>
      <c r="AV36" s="85">
        <v>134.09395973154363</v>
      </c>
      <c r="AW36" s="75">
        <f>SUM(AS36:AV36)</f>
        <v>150.60402684563761</v>
      </c>
      <c r="AX36" s="31"/>
      <c r="AY36" s="85">
        <v>-69.932885906040269</v>
      </c>
      <c r="AZ36" s="85">
        <v>-1.3422818791946309</v>
      </c>
      <c r="BA36" s="85">
        <v>47.785234899328856</v>
      </c>
      <c r="BB36" s="85">
        <v>96.644295302013418</v>
      </c>
      <c r="BC36" s="75">
        <f>SUM(AY36:BB36)</f>
        <v>73.154362416107375</v>
      </c>
      <c r="BD36" s="31"/>
      <c r="BE36" s="85">
        <v>26.711409395973153</v>
      </c>
      <c r="BF36" s="85">
        <v>14.630872483221475</v>
      </c>
      <c r="BG36" s="85">
        <v>17.315436241610737</v>
      </c>
      <c r="BH36" s="85">
        <v>153.82550335570468</v>
      </c>
      <c r="BI36" s="75">
        <f>SUM(BE36:BH36)</f>
        <v>212.48322147651004</v>
      </c>
      <c r="BJ36" s="31"/>
      <c r="BK36" s="85">
        <v>12.751677852348992</v>
      </c>
      <c r="BL36" s="85">
        <v>5.3691275167785237</v>
      </c>
      <c r="BM36" s="85">
        <v>35.70469798657718</v>
      </c>
      <c r="BN36" s="85">
        <v>119.4</v>
      </c>
      <c r="BO36" s="75">
        <f>SUM(BK36:BN36)</f>
        <v>173.22550335570469</v>
      </c>
      <c r="BP36" s="31"/>
      <c r="BQ36" s="85">
        <f>+Cashflow!BQ11</f>
        <v>-9.0990000000000038</v>
      </c>
      <c r="BR36" s="85">
        <f>+Cashflow!BR11</f>
        <v>28.7</v>
      </c>
      <c r="BS36" s="85">
        <v>48.1</v>
      </c>
      <c r="BT36" s="85">
        <v>86.2</v>
      </c>
      <c r="BU36" s="75">
        <f>SUM(BQ36:BT36)</f>
        <v>153.90100000000001</v>
      </c>
      <c r="BV36" s="31"/>
      <c r="BW36" s="85">
        <f>+Cashflow!BW11</f>
        <v>-38.4</v>
      </c>
      <c r="BX36" s="85">
        <f>+Cashflow!BX11</f>
        <v>16.800000000000004</v>
      </c>
      <c r="BY36" s="85">
        <f>+Cashflow!BY11</f>
        <v>46.7</v>
      </c>
      <c r="BZ36" s="85">
        <f>+Cashflow!BZ11</f>
        <v>62.699999999999974</v>
      </c>
      <c r="CA36" s="75">
        <f>SUM(BW36:BZ36)</f>
        <v>87.799999999999983</v>
      </c>
      <c r="CC36" s="85">
        <f>+Cashflow!CC11</f>
        <v>-131.80000000000001</v>
      </c>
      <c r="CD36" s="85">
        <v>36.4</v>
      </c>
      <c r="CE36" s="85">
        <f>+Cashflow!CE11</f>
        <v>-34.799999999999997</v>
      </c>
      <c r="CF36" s="85">
        <f>130.2-42.2</f>
        <v>87.999999999999986</v>
      </c>
      <c r="CG36" s="75">
        <f>SUM(CC36:CF36)</f>
        <v>-42.2</v>
      </c>
      <c r="CI36" s="85">
        <f>+Cashflow!CI11</f>
        <v>-54.599999999999994</v>
      </c>
      <c r="CJ36" s="85">
        <f>+Cashflow!CJ11</f>
        <v>23.1</v>
      </c>
      <c r="CK36" s="85">
        <v>11</v>
      </c>
      <c r="CL36" s="85">
        <v>145.5</v>
      </c>
      <c r="CM36" s="75">
        <f>SUM(CI36:CL36)</f>
        <v>125</v>
      </c>
      <c r="CN36" s="199"/>
      <c r="CO36" s="85">
        <f>+Cashflow!CO11</f>
        <v>-121.49999999999999</v>
      </c>
      <c r="CP36" s="85"/>
      <c r="CQ36" s="85"/>
      <c r="CR36" s="85"/>
      <c r="CS36" s="75">
        <f>SUM(CO36:CR36)</f>
        <v>-121.49999999999999</v>
      </c>
    </row>
    <row r="37" spans="1:97" x14ac:dyDescent="0.2">
      <c r="A37" s="2" t="s">
        <v>57</v>
      </c>
      <c r="C37" s="31">
        <v>-3.7583892617449663</v>
      </c>
      <c r="D37" s="31">
        <v>-2.0134228187919461</v>
      </c>
      <c r="E37" s="31">
        <v>-7.5167785234899327</v>
      </c>
      <c r="F37" s="31">
        <v>-0.80536912751677847</v>
      </c>
      <c r="G37" s="75">
        <f>SUM(C37:F37)</f>
        <v>-14.093959731543624</v>
      </c>
      <c r="H37" s="31"/>
      <c r="I37" s="31">
        <v>-8.9932885906040259</v>
      </c>
      <c r="J37" s="31">
        <v>23.624161073825501</v>
      </c>
      <c r="K37" s="31">
        <v>-6.174496644295302</v>
      </c>
      <c r="L37" s="31">
        <v>-12.348993288590604</v>
      </c>
      <c r="M37" s="75">
        <f>SUM(I37:L37)</f>
        <v>-3.8926174496644297</v>
      </c>
      <c r="N37" s="31"/>
      <c r="O37" s="31">
        <v>-11.946308724832214</v>
      </c>
      <c r="P37" s="31">
        <v>-11.409395973154362</v>
      </c>
      <c r="Q37" s="31">
        <v>-11.275167785234899</v>
      </c>
      <c r="R37" s="31">
        <v>-17.583892617449663</v>
      </c>
      <c r="S37" s="75">
        <f>SUM(O37:R37)</f>
        <v>-52.214765100671137</v>
      </c>
      <c r="T37" s="31"/>
      <c r="U37" s="31">
        <v>25.100671140939596</v>
      </c>
      <c r="V37" s="31">
        <v>-20.671140939597315</v>
      </c>
      <c r="W37" s="31">
        <v>-22.68456375838926</v>
      </c>
      <c r="X37" s="85">
        <v>-40.805369127516776</v>
      </c>
      <c r="Y37" s="75">
        <f>SUM(U37:X37)</f>
        <v>-59.060402684563755</v>
      </c>
      <c r="Z37" s="31"/>
      <c r="AA37" s="85">
        <v>-22.281879194630871</v>
      </c>
      <c r="AB37" s="31">
        <v>-34.228187919463089</v>
      </c>
      <c r="AC37" s="85">
        <v>-33.154362416107382</v>
      </c>
      <c r="AD37" s="85">
        <v>-26.845637583892618</v>
      </c>
      <c r="AE37" s="75">
        <f>SUM(AA37:AD37)</f>
        <v>-116.51006711409397</v>
      </c>
      <c r="AF37" s="31"/>
      <c r="AG37" s="85">
        <v>-39.597315436241608</v>
      </c>
      <c r="AH37" s="85">
        <f>(-159+6)/7.45</f>
        <v>-20.536912751677853</v>
      </c>
      <c r="AI37" s="85">
        <v>-17.583892617449663</v>
      </c>
      <c r="AJ37" s="85">
        <v>-19.328859060402685</v>
      </c>
      <c r="AK37" s="75">
        <f>SUM(AG37:AJ37)</f>
        <v>-97.046979865771817</v>
      </c>
      <c r="AL37" s="31"/>
      <c r="AM37" s="85">
        <v>-12.483221476510067</v>
      </c>
      <c r="AN37" s="85">
        <v>-14.630872483221475</v>
      </c>
      <c r="AO37" s="85">
        <v>-13.422818791946309</v>
      </c>
      <c r="AP37" s="85">
        <v>-16.778523489932887</v>
      </c>
      <c r="AQ37" s="75">
        <f>SUM(AM37:AP37)</f>
        <v>-57.315436241610733</v>
      </c>
      <c r="AR37" s="31"/>
      <c r="AS37" s="85">
        <v>-11.812080536912751</v>
      </c>
      <c r="AT37" s="85">
        <v>-8.9932885906040259</v>
      </c>
      <c r="AU37" s="85">
        <v>-7.1140939597315436</v>
      </c>
      <c r="AV37" s="85">
        <v>-14.630872483221475</v>
      </c>
      <c r="AW37" s="75">
        <f>SUM(AS37:AV37)</f>
        <v>-42.550335570469798</v>
      </c>
      <c r="AX37" s="31"/>
      <c r="AY37" s="85">
        <v>-8.0536912751677843</v>
      </c>
      <c r="AZ37" s="85">
        <v>-7.1140939597315436</v>
      </c>
      <c r="BA37" s="85">
        <v>-6.9798657718120802</v>
      </c>
      <c r="BB37" s="85">
        <v>-10.604026845637584</v>
      </c>
      <c r="BC37" s="75">
        <f>SUM(AY37:BB37)</f>
        <v>-32.75167785234899</v>
      </c>
      <c r="BD37" s="31"/>
      <c r="BE37" s="85">
        <v>-6.7114093959731544</v>
      </c>
      <c r="BF37" s="85">
        <v>-6.5771812080536911</v>
      </c>
      <c r="BG37" s="85">
        <v>-9.3959731543624159</v>
      </c>
      <c r="BH37" s="85">
        <v>-8.3221476510067109</v>
      </c>
      <c r="BI37" s="75">
        <f>SUM(BE37:BH37)</f>
        <v>-31.006711409395969</v>
      </c>
      <c r="BJ37" s="31"/>
      <c r="BK37" s="85">
        <v>-5.1006711409395971</v>
      </c>
      <c r="BL37" s="85">
        <v>-7.3825503355704694</v>
      </c>
      <c r="BM37" s="85">
        <v>-6.8456375838926169</v>
      </c>
      <c r="BN37" s="85">
        <v>-15.8</v>
      </c>
      <c r="BO37" s="75">
        <f>SUM(BK37:BN37)</f>
        <v>-35.128859060402689</v>
      </c>
      <c r="BP37" s="31"/>
      <c r="BQ37" s="85">
        <f>+Cashflow!BQ15</f>
        <v>-10.3</v>
      </c>
      <c r="BR37" s="85">
        <f>+Cashflow!BR15</f>
        <v>-6.6</v>
      </c>
      <c r="BS37" s="85">
        <v>-8.9</v>
      </c>
      <c r="BT37" s="85">
        <f>-37.2+25.8</f>
        <v>-11.400000000000002</v>
      </c>
      <c r="BU37" s="75">
        <f>SUM(BQ37:BT37)</f>
        <v>-37.200000000000003</v>
      </c>
      <c r="BV37" s="31"/>
      <c r="BW37" s="85">
        <f>+Cashflow!BW15</f>
        <v>-13.1</v>
      </c>
      <c r="BX37" s="85">
        <f>+Cashflow!BX15</f>
        <v>-14.4</v>
      </c>
      <c r="BY37" s="85">
        <f>+Cashflow!BY15</f>
        <v>-8.9</v>
      </c>
      <c r="BZ37" s="85">
        <f>+Cashflow!BZ15</f>
        <v>-14.000000000000004</v>
      </c>
      <c r="CA37" s="75">
        <f>SUM(BW37:BZ37)</f>
        <v>-50.400000000000006</v>
      </c>
      <c r="CC37" s="85">
        <f>+Cashflow!CC15</f>
        <v>-4.9000000000000004</v>
      </c>
      <c r="CD37" s="85">
        <v>-4.9000000000000004</v>
      </c>
      <c r="CE37" s="85">
        <f>+Cashflow!CE15</f>
        <v>-6.3</v>
      </c>
      <c r="CF37" s="85">
        <f>16.1-27.3</f>
        <v>-11.2</v>
      </c>
      <c r="CG37" s="75">
        <f>SUM(CC37:CF37)</f>
        <v>-27.3</v>
      </c>
      <c r="CI37" s="85">
        <f>+Cashflow!CI15</f>
        <v>-4.1999999999999993</v>
      </c>
      <c r="CJ37" s="85">
        <f>+Cashflow!CJ15</f>
        <v>-10.299999999999999</v>
      </c>
      <c r="CK37" s="85">
        <f>-7.9+0.4</f>
        <v>-7.5</v>
      </c>
      <c r="CL37" s="85">
        <v>-11.2</v>
      </c>
      <c r="CM37" s="75">
        <f>SUM(CI37:CL37)</f>
        <v>-33.200000000000003</v>
      </c>
      <c r="CN37" s="199"/>
      <c r="CO37" s="85">
        <f>+Cashflow!CO15</f>
        <v>-5.5</v>
      </c>
      <c r="CP37" s="85"/>
      <c r="CQ37" s="85"/>
      <c r="CR37" s="85"/>
      <c r="CS37" s="75">
        <f>SUM(CO37:CR37)</f>
        <v>-5.5</v>
      </c>
    </row>
    <row r="38" spans="1:97" x14ac:dyDescent="0.2">
      <c r="G38" s="36"/>
      <c r="M38" s="36"/>
      <c r="S38" s="36"/>
      <c r="Y38" s="36"/>
      <c r="AE38" s="36"/>
      <c r="AK38" s="36"/>
      <c r="AQ38" s="36"/>
      <c r="AW38" s="36"/>
      <c r="BC38" s="36"/>
      <c r="BI38" s="36"/>
      <c r="BO38" s="36"/>
      <c r="BU38" s="36"/>
      <c r="CA38" s="36"/>
      <c r="CG38" s="36"/>
      <c r="CM38" s="36"/>
      <c r="CS38" s="36"/>
    </row>
    <row r="39" spans="1:97" s="45" customFormat="1" x14ac:dyDescent="0.2">
      <c r="A39" s="43" t="s">
        <v>16</v>
      </c>
      <c r="C39" s="51"/>
      <c r="D39" s="51"/>
      <c r="E39" s="51"/>
      <c r="F39" s="51"/>
      <c r="G39" s="52"/>
      <c r="I39" s="51"/>
      <c r="J39" s="51"/>
      <c r="K39" s="51"/>
      <c r="L39" s="51"/>
      <c r="M39" s="52"/>
      <c r="O39" s="51"/>
      <c r="P39" s="51"/>
      <c r="Q39" s="51"/>
      <c r="R39" s="51"/>
      <c r="S39" s="52"/>
      <c r="U39" s="51"/>
      <c r="V39" s="51"/>
      <c r="W39" s="51"/>
      <c r="X39" s="51"/>
      <c r="Y39" s="52"/>
      <c r="AA39" s="51"/>
      <c r="AB39" s="51"/>
      <c r="AC39" s="51"/>
      <c r="AD39" s="51"/>
      <c r="AE39" s="52"/>
      <c r="AG39" s="51"/>
      <c r="AH39" s="51"/>
      <c r="AI39" s="51"/>
      <c r="AJ39" s="51"/>
      <c r="AK39" s="52"/>
      <c r="AM39" s="51"/>
      <c r="AN39" s="51"/>
      <c r="AO39" s="51"/>
      <c r="AP39" s="51"/>
      <c r="AQ39" s="52"/>
      <c r="AS39" s="51"/>
      <c r="AT39" s="51"/>
      <c r="AU39" s="51"/>
      <c r="AV39" s="51"/>
      <c r="AW39" s="52"/>
      <c r="AY39" s="51"/>
      <c r="AZ39" s="51"/>
      <c r="BA39" s="51"/>
      <c r="BB39" s="51"/>
      <c r="BC39" s="52"/>
      <c r="BE39" s="51"/>
      <c r="BF39" s="51"/>
      <c r="BG39" s="51"/>
      <c r="BH39" s="51"/>
      <c r="BI39" s="52"/>
      <c r="BK39" s="51"/>
      <c r="BL39" s="51"/>
      <c r="BM39" s="51"/>
      <c r="BN39" s="51"/>
      <c r="BO39" s="52"/>
      <c r="BQ39" s="51"/>
      <c r="BR39" s="51"/>
      <c r="BS39" s="51"/>
      <c r="BT39" s="51"/>
      <c r="BU39" s="52"/>
      <c r="BW39" s="51"/>
      <c r="BX39" s="51"/>
      <c r="BY39" s="51"/>
      <c r="BZ39" s="51"/>
      <c r="CA39" s="52"/>
      <c r="CC39" s="51"/>
      <c r="CD39" s="51"/>
      <c r="CE39" s="51"/>
      <c r="CF39" s="51"/>
      <c r="CG39" s="52"/>
      <c r="CI39" s="51"/>
      <c r="CJ39" s="51"/>
      <c r="CK39" s="51"/>
      <c r="CL39" s="51"/>
      <c r="CM39" s="52"/>
      <c r="CO39" s="51"/>
      <c r="CP39" s="51"/>
      <c r="CQ39" s="51"/>
      <c r="CR39" s="51"/>
      <c r="CS39" s="52"/>
    </row>
    <row r="40" spans="1:97" ht="4.5" customHeight="1" x14ac:dyDescent="0.2">
      <c r="G40" s="36"/>
      <c r="M40" s="36"/>
      <c r="S40" s="36"/>
      <c r="Y40" s="36"/>
      <c r="AE40" s="36"/>
      <c r="AK40" s="36"/>
      <c r="AQ40" s="36"/>
      <c r="AW40" s="36"/>
      <c r="BC40" s="36"/>
      <c r="BI40" s="36"/>
      <c r="BO40" s="36"/>
      <c r="BU40" s="36"/>
      <c r="CA40" s="36"/>
      <c r="CG40" s="36"/>
      <c r="CM40" s="36"/>
      <c r="CS40" s="36"/>
    </row>
    <row r="41" spans="1:97" ht="12.75" customHeight="1" x14ac:dyDescent="0.2">
      <c r="A41" s="2" t="s">
        <v>17</v>
      </c>
      <c r="C41" s="10">
        <v>0.47</v>
      </c>
      <c r="D41" s="10">
        <v>0.46</v>
      </c>
      <c r="E41" s="10">
        <v>0.43</v>
      </c>
      <c r="F41" s="10">
        <v>0.44</v>
      </c>
      <c r="G41" s="38"/>
      <c r="I41" s="10">
        <v>0.43</v>
      </c>
      <c r="J41" s="10">
        <v>0.38</v>
      </c>
      <c r="K41" s="10">
        <v>0.39</v>
      </c>
      <c r="L41" s="10">
        <v>0.38</v>
      </c>
      <c r="M41" s="38"/>
      <c r="O41" s="10">
        <v>0.36</v>
      </c>
      <c r="P41" s="10">
        <v>0.33</v>
      </c>
      <c r="Q41" s="10">
        <v>0.33</v>
      </c>
      <c r="R41" s="10">
        <v>0.36</v>
      </c>
      <c r="S41" s="38" t="s">
        <v>49</v>
      </c>
      <c r="U41" s="10">
        <v>0.35</v>
      </c>
      <c r="V41" s="10">
        <v>0.33</v>
      </c>
      <c r="W41" s="10">
        <v>0.35</v>
      </c>
      <c r="X41" s="10">
        <v>0.35</v>
      </c>
      <c r="Y41" s="38" t="s">
        <v>49</v>
      </c>
      <c r="AA41" s="10">
        <v>0.36</v>
      </c>
      <c r="AB41" s="11">
        <v>0.36</v>
      </c>
      <c r="AC41" s="12">
        <v>0.35</v>
      </c>
      <c r="AD41" s="12">
        <v>0.37</v>
      </c>
      <c r="AE41" s="38" t="s">
        <v>49</v>
      </c>
      <c r="AG41" s="10">
        <v>0.34</v>
      </c>
      <c r="AH41" s="12">
        <v>0.33</v>
      </c>
      <c r="AI41" s="12">
        <v>0.32</v>
      </c>
      <c r="AJ41" s="12">
        <v>0.33</v>
      </c>
      <c r="AK41" s="41"/>
      <c r="AM41" s="10">
        <v>0.28999999999999998</v>
      </c>
      <c r="AN41" s="10">
        <v>0.28999999999999998</v>
      </c>
      <c r="AO41" s="12">
        <v>0.28999999999999998</v>
      </c>
      <c r="AP41" s="12">
        <v>0.3</v>
      </c>
      <c r="AQ41" s="41"/>
      <c r="AS41" s="10">
        <v>0.3</v>
      </c>
      <c r="AT41" s="10">
        <v>0.41</v>
      </c>
      <c r="AU41" s="10">
        <v>0.43</v>
      </c>
      <c r="AV41" s="12">
        <v>0.44</v>
      </c>
      <c r="AW41" s="41"/>
      <c r="AY41" s="10">
        <v>0.41</v>
      </c>
      <c r="AZ41" s="10">
        <v>0.42</v>
      </c>
      <c r="BA41" s="10">
        <v>0.41</v>
      </c>
      <c r="BB41" s="12">
        <v>0.44</v>
      </c>
      <c r="BC41" s="41"/>
      <c r="BE41" s="10">
        <v>0.43</v>
      </c>
      <c r="BF41" s="10">
        <v>0.44</v>
      </c>
      <c r="BG41" s="10">
        <v>0.44</v>
      </c>
      <c r="BH41" s="12">
        <v>0.48</v>
      </c>
      <c r="BI41" s="41"/>
      <c r="BK41" s="10">
        <v>0.46</v>
      </c>
      <c r="BL41" s="10">
        <v>0.43</v>
      </c>
      <c r="BM41" s="10">
        <v>0.46</v>
      </c>
      <c r="BN41" s="10">
        <v>0.48</v>
      </c>
      <c r="BO41" s="41"/>
      <c r="BQ41" s="10">
        <f>+BQ28/BQ30</f>
        <v>0.46193273439299698</v>
      </c>
      <c r="BR41" s="10">
        <f>+BR28/BR30</f>
        <v>0.44857878245299909</v>
      </c>
      <c r="BS41" s="10">
        <f>+BS28/BS30</f>
        <v>0.43977785491148913</v>
      </c>
      <c r="BT41" s="10">
        <v>0.54</v>
      </c>
      <c r="BU41" s="41"/>
      <c r="BW41" s="10">
        <f>+BW28/BW30</f>
        <v>0.36217566358484937</v>
      </c>
      <c r="BX41" s="10">
        <f>+BX28/BX30</f>
        <v>0.34966180135279462</v>
      </c>
      <c r="BY41" s="10">
        <f>+BY28/BY30</f>
        <v>0.35659666128163703</v>
      </c>
      <c r="BZ41" s="10">
        <f>+BZ28/BZ30</f>
        <v>0.42859393048409111</v>
      </c>
      <c r="CA41" s="41"/>
      <c r="CC41" s="10">
        <f>+CC28/CC30</f>
        <v>0.40290126345343935</v>
      </c>
      <c r="CD41" s="10">
        <f>+CD28/CD30</f>
        <v>0.39825581395348836</v>
      </c>
      <c r="CE41" s="10">
        <f>+(CE28+CE29)/CE30</f>
        <v>0.47703818369453044</v>
      </c>
      <c r="CF41" s="10">
        <f>+(CF28+CF29)/CF30</f>
        <v>0.48171256454388978</v>
      </c>
      <c r="CG41" s="41"/>
      <c r="CI41" s="10">
        <f>+(CI28+CI29)/CI30</f>
        <v>0.46482492772245421</v>
      </c>
      <c r="CJ41" s="10">
        <f>+(CJ28+CJ29)/CJ30</f>
        <v>0.44522390421435737</v>
      </c>
      <c r="CK41" s="10">
        <f>+(CK28+CK29)/CK30</f>
        <v>0.42745056459735992</v>
      </c>
      <c r="CL41" s="10">
        <f>+(CL28+CL29)/CL30</f>
        <v>0.44920084944674188</v>
      </c>
      <c r="CM41" s="41"/>
      <c r="CO41" s="10">
        <f>+(CO28+CO29)/CO30</f>
        <v>0.40310725025058475</v>
      </c>
      <c r="CP41" s="10"/>
      <c r="CQ41" s="10"/>
      <c r="CR41" s="10"/>
      <c r="CS41" s="41"/>
    </row>
    <row r="42" spans="1:97" ht="12.75" customHeight="1" x14ac:dyDescent="0.2">
      <c r="A42" s="2" t="s">
        <v>102</v>
      </c>
      <c r="C42" s="2">
        <v>24500</v>
      </c>
      <c r="D42" s="2">
        <v>24500</v>
      </c>
      <c r="E42" s="2">
        <v>24500</v>
      </c>
      <c r="F42" s="2">
        <v>24500</v>
      </c>
      <c r="G42" s="36"/>
      <c r="I42" s="2">
        <v>24500</v>
      </c>
      <c r="J42" s="2">
        <v>23500</v>
      </c>
      <c r="K42" s="2">
        <v>23500</v>
      </c>
      <c r="L42" s="2">
        <v>23500</v>
      </c>
      <c r="M42" s="36"/>
      <c r="O42" s="13">
        <v>23561</v>
      </c>
      <c r="P42" s="13">
        <v>23638</v>
      </c>
      <c r="Q42" s="13">
        <v>23638</v>
      </c>
      <c r="R42" s="13">
        <v>23638</v>
      </c>
      <c r="S42" s="36"/>
      <c r="U42" s="13">
        <v>23655</v>
      </c>
      <c r="V42" s="13">
        <v>23718</v>
      </c>
      <c r="W42" s="13">
        <v>23718</v>
      </c>
      <c r="X42" s="13">
        <v>23718</v>
      </c>
      <c r="Y42" s="36"/>
      <c r="AA42" s="13">
        <v>23718</v>
      </c>
      <c r="AB42" s="14">
        <v>23718</v>
      </c>
      <c r="AC42" s="14">
        <v>23718</v>
      </c>
      <c r="AD42" s="14">
        <f>23718</f>
        <v>23718</v>
      </c>
      <c r="AE42" s="36"/>
      <c r="AG42" s="13">
        <v>23722</v>
      </c>
      <c r="AH42" s="13">
        <v>23738</v>
      </c>
      <c r="AI42" s="14">
        <v>23738</v>
      </c>
      <c r="AJ42" s="14">
        <v>23738</v>
      </c>
      <c r="AK42" s="36"/>
      <c r="AM42" s="13">
        <f>+'OLD Valuation 2005-2019'!AG5</f>
        <v>23737.978999999999</v>
      </c>
      <c r="AN42" s="13">
        <f>+'OLD Valuation 2005-2019'!AH5</f>
        <v>23737.978999999999</v>
      </c>
      <c r="AO42" s="13">
        <f>+'OLD Valuation 2005-2019'!AI5</f>
        <v>23737.978999999999</v>
      </c>
      <c r="AP42" s="13">
        <f>+'OLD Valuation 2005-2019'!AJ5</f>
        <v>23737.978999999999</v>
      </c>
      <c r="AQ42" s="36"/>
      <c r="AS42" s="13">
        <f>+'OLD Valuation 2005-2019'!AL5</f>
        <v>23888</v>
      </c>
      <c r="AT42" s="13">
        <v>23888</v>
      </c>
      <c r="AU42" s="13">
        <v>23888</v>
      </c>
      <c r="AV42" s="13">
        <v>23888</v>
      </c>
      <c r="AW42" s="36"/>
      <c r="AY42" s="13">
        <f>+'OLD Valuation 2005-2019'!AQ5</f>
        <v>23930</v>
      </c>
      <c r="AZ42" s="13">
        <f>+'OLD Valuation 2005-2019'!AR5</f>
        <v>23930</v>
      </c>
      <c r="BA42" s="13">
        <f>+'OLD Valuation 2005-2019'!AS5</f>
        <v>23930</v>
      </c>
      <c r="BB42" s="13">
        <f>+'OLD Valuation 2005-2019'!AT5</f>
        <v>23930</v>
      </c>
      <c r="BC42" s="36"/>
      <c r="BE42" s="13">
        <f>+'OLD Valuation 2005-2019'!AV5</f>
        <v>23934</v>
      </c>
      <c r="BF42" s="13">
        <f>+'OLD Valuation 2005-2019'!AW5</f>
        <v>23934</v>
      </c>
      <c r="BG42" s="13">
        <f>+'OLD Valuation 2005-2019'!AX5</f>
        <v>23934</v>
      </c>
      <c r="BH42" s="13">
        <f>+'OLD Valuation 2005-2019'!AY5</f>
        <v>23934</v>
      </c>
      <c r="BI42" s="36"/>
      <c r="BK42" s="13">
        <f>+'OLD Valuation 2005-2019'!BA5</f>
        <v>24186</v>
      </c>
      <c r="BL42" s="13">
        <f>+'OLD Valuation 2005-2019'!BB5</f>
        <v>24186</v>
      </c>
      <c r="BM42" s="13">
        <v>24186</v>
      </c>
      <c r="BN42" s="13">
        <v>24186</v>
      </c>
      <c r="BO42" s="36"/>
      <c r="BQ42" s="13">
        <v>24356</v>
      </c>
      <c r="BR42" s="13">
        <v>24356</v>
      </c>
      <c r="BS42" s="13">
        <v>24398</v>
      </c>
      <c r="BT42" s="13">
        <v>26835</v>
      </c>
      <c r="BU42" s="36"/>
      <c r="BW42" s="13">
        <v>27071</v>
      </c>
      <c r="BX42" s="13">
        <f>+'OLD Valuation 2005-2019'!BL5</f>
        <v>27112</v>
      </c>
      <c r="BY42" s="13">
        <v>27126</v>
      </c>
      <c r="BZ42" s="13">
        <v>27126</v>
      </c>
      <c r="CA42" s="36"/>
      <c r="CC42" s="13">
        <v>27126</v>
      </c>
      <c r="CD42" s="13">
        <v>27126</v>
      </c>
      <c r="CE42" s="13">
        <v>27126</v>
      </c>
      <c r="CF42" s="13">
        <v>27126</v>
      </c>
      <c r="CG42" s="36"/>
      <c r="CI42" s="13">
        <v>27126</v>
      </c>
      <c r="CJ42" s="13">
        <v>27126</v>
      </c>
      <c r="CK42" s="13">
        <v>27126</v>
      </c>
      <c r="CL42" s="13">
        <v>27260</v>
      </c>
      <c r="CM42" s="36"/>
      <c r="CO42" s="13">
        <v>27281</v>
      </c>
      <c r="CP42" s="13"/>
      <c r="CQ42" s="13"/>
      <c r="CR42" s="13"/>
      <c r="CS42" s="36"/>
    </row>
    <row r="43" spans="1:97" ht="12.75" customHeight="1" x14ac:dyDescent="0.2">
      <c r="A43" s="2" t="s">
        <v>138</v>
      </c>
      <c r="G43" s="36"/>
      <c r="M43" s="36"/>
      <c r="O43" s="13"/>
      <c r="P43" s="13"/>
      <c r="Q43" s="13"/>
      <c r="R43" s="13"/>
      <c r="S43" s="36"/>
      <c r="U43" s="13"/>
      <c r="V43" s="13"/>
      <c r="W43" s="13"/>
      <c r="X43" s="13"/>
      <c r="Y43" s="36"/>
      <c r="AA43" s="13"/>
      <c r="AB43" s="14"/>
      <c r="AC43" s="14"/>
      <c r="AD43" s="14"/>
      <c r="AE43" s="36"/>
      <c r="AG43" s="13"/>
      <c r="AH43" s="13"/>
      <c r="AI43" s="14"/>
      <c r="AJ43" s="14"/>
      <c r="AK43" s="36"/>
      <c r="AM43" s="13"/>
      <c r="AN43" s="13"/>
      <c r="AO43" s="13"/>
      <c r="AP43" s="13"/>
      <c r="AQ43" s="36"/>
      <c r="AS43" s="13"/>
      <c r="AT43" s="13"/>
      <c r="AU43" s="13"/>
      <c r="AV43" s="13"/>
      <c r="AW43" s="36"/>
      <c r="AY43" s="13"/>
      <c r="AZ43" s="13"/>
      <c r="BA43" s="13"/>
      <c r="BB43" s="13"/>
      <c r="BC43" s="36"/>
      <c r="BE43" s="13"/>
      <c r="BF43" s="13"/>
      <c r="BG43" s="13"/>
      <c r="BH43" s="13"/>
      <c r="BI43" s="36"/>
      <c r="BK43" s="13"/>
      <c r="BL43" s="13"/>
      <c r="BM43" s="13"/>
      <c r="BN43" s="13">
        <v>77</v>
      </c>
      <c r="BO43" s="36"/>
      <c r="BQ43" s="13">
        <v>176</v>
      </c>
      <c r="BR43" s="13">
        <v>589</v>
      </c>
      <c r="BS43" s="13">
        <v>948</v>
      </c>
      <c r="BT43" s="13">
        <v>0</v>
      </c>
      <c r="BU43" s="36"/>
      <c r="BW43" s="13">
        <v>0</v>
      </c>
      <c r="BX43" s="13">
        <f>+'OLD Valuation 2005-2019'!BL6</f>
        <v>0</v>
      </c>
      <c r="BY43" s="13">
        <v>0</v>
      </c>
      <c r="BZ43" s="13">
        <v>0</v>
      </c>
      <c r="CA43" s="36"/>
      <c r="CC43" s="13">
        <v>0</v>
      </c>
      <c r="CD43" s="13">
        <v>0</v>
      </c>
      <c r="CE43" s="13">
        <v>0</v>
      </c>
      <c r="CF43" s="13">
        <v>0</v>
      </c>
      <c r="CG43" s="36"/>
      <c r="CI43" s="13">
        <v>0</v>
      </c>
      <c r="CJ43" s="13">
        <v>0</v>
      </c>
      <c r="CK43" s="13">
        <v>0</v>
      </c>
      <c r="CL43" s="13">
        <v>0</v>
      </c>
      <c r="CM43" s="36"/>
      <c r="CO43" s="13">
        <v>0</v>
      </c>
      <c r="CP43" s="13"/>
      <c r="CQ43" s="13"/>
      <c r="CR43" s="13"/>
      <c r="CS43" s="36"/>
    </row>
    <row r="44" spans="1:97" ht="12.75" customHeight="1" x14ac:dyDescent="0.2">
      <c r="A44" s="2" t="s">
        <v>105</v>
      </c>
      <c r="C44" s="15">
        <v>0.28187919463087246</v>
      </c>
      <c r="D44" s="15">
        <v>0.57718120805369122</v>
      </c>
      <c r="E44" s="15">
        <v>0.63087248322147649</v>
      </c>
      <c r="F44" s="15">
        <v>0.48322147651006714</v>
      </c>
      <c r="G44" s="39">
        <f>SUM(C44:F44)</f>
        <v>1.9731543624161072</v>
      </c>
      <c r="I44" s="15">
        <v>3.6</v>
      </c>
      <c r="J44" s="15">
        <v>9.4</v>
      </c>
      <c r="K44" s="15">
        <v>5.9</v>
      </c>
      <c r="L44" s="15">
        <v>6</v>
      </c>
      <c r="M44" s="39">
        <f>SUM(I44:L44)</f>
        <v>24.9</v>
      </c>
      <c r="O44" s="15">
        <v>0.68456375838926165</v>
      </c>
      <c r="P44" s="15">
        <v>1.2483221476510067</v>
      </c>
      <c r="Q44" s="15">
        <v>0.9261744966442953</v>
      </c>
      <c r="R44" s="15">
        <v>1.7315436241610738</v>
      </c>
      <c r="S44" s="39">
        <f>SUM(O44:R44)</f>
        <v>4.5906040268456376</v>
      </c>
      <c r="U44" s="15">
        <v>0.77852348993288589</v>
      </c>
      <c r="V44" s="15">
        <v>1.3154362416107384</v>
      </c>
      <c r="W44" s="15">
        <v>0.7516778523489932</v>
      </c>
      <c r="X44" s="15">
        <v>-0.56375838926174493</v>
      </c>
      <c r="Y44" s="39">
        <f>SUM(U44:X44)</f>
        <v>2.2818791946308723</v>
      </c>
      <c r="AA44" s="16">
        <v>1.3422818791946308E-2</v>
      </c>
      <c r="AB44" s="17">
        <v>0.53691275167785235</v>
      </c>
      <c r="AC44" s="17">
        <v>0.38926174496644295</v>
      </c>
      <c r="AD44" s="16">
        <v>0.42953020134228187</v>
      </c>
      <c r="AE44" s="39">
        <f>SUM(AA44:AD44)</f>
        <v>1.3691275167785235</v>
      </c>
      <c r="AG44" s="16">
        <v>0.36241610738255037</v>
      </c>
      <c r="AH44" s="16">
        <v>0.55033557046979864</v>
      </c>
      <c r="AI44" s="17">
        <v>0.44295302013422816</v>
      </c>
      <c r="AJ44" s="16">
        <v>0.16107382550335569</v>
      </c>
      <c r="AK44" s="39">
        <f>SUM(AG44:AJ44)</f>
        <v>1.5167785234899329</v>
      </c>
      <c r="AM44" s="16">
        <v>0.28187919463087246</v>
      </c>
      <c r="AN44" s="16">
        <v>0.17449664429530201</v>
      </c>
      <c r="AO44" s="16">
        <v>0.24161073825503357</v>
      </c>
      <c r="AP44" s="16">
        <v>1.3422818791946308E-2</v>
      </c>
      <c r="AQ44" s="39">
        <f>SUM(AM44:AP44)</f>
        <v>0.71140939597315433</v>
      </c>
      <c r="AS44" s="16">
        <v>0.17449664429530201</v>
      </c>
      <c r="AT44" s="16">
        <v>8.1342281879194633</v>
      </c>
      <c r="AU44" s="16">
        <v>0.20134228187919462</v>
      </c>
      <c r="AV44" s="16">
        <v>0.55033557046979864</v>
      </c>
      <c r="AW44" s="39">
        <f>SUM(AS44:AV44)</f>
        <v>9.0604026845637584</v>
      </c>
      <c r="AY44" s="16">
        <v>0.13422818791946309</v>
      </c>
      <c r="AZ44" s="16">
        <v>0.42953020134228187</v>
      </c>
      <c r="BA44" s="16">
        <v>0.29530201342281881</v>
      </c>
      <c r="BB44" s="16">
        <v>0.56375838926174493</v>
      </c>
      <c r="BC44" s="39">
        <f>SUM(AY44:BB44)</f>
        <v>1.4228187919463087</v>
      </c>
      <c r="BE44" s="16">
        <v>0.48322147651006714</v>
      </c>
      <c r="BF44" s="16">
        <v>0.26845637583892618</v>
      </c>
      <c r="BG44" s="16">
        <v>0.33557046979865773</v>
      </c>
      <c r="BH44" s="16">
        <v>0.48322147651006714</v>
      </c>
      <c r="BI44" s="39">
        <f>SUM(BE44:BH44)</f>
        <v>1.5704697986577181</v>
      </c>
      <c r="BK44" s="16">
        <v>0.51006711409395966</v>
      </c>
      <c r="BL44" s="16">
        <v>-1.1543624161073824</v>
      </c>
      <c r="BM44" s="16">
        <v>0.40268456375838924</v>
      </c>
      <c r="BN44" s="16">
        <v>0.2</v>
      </c>
      <c r="BO44" s="39">
        <f>SUM(BK44:BN44)</f>
        <v>-4.161073825503353E-2</v>
      </c>
      <c r="BQ44" s="16">
        <v>0.4</v>
      </c>
      <c r="BR44" s="16">
        <v>0.9</v>
      </c>
      <c r="BS44" s="16">
        <v>-1</v>
      </c>
      <c r="BT44" s="16">
        <v>0.2</v>
      </c>
      <c r="BU44" s="39">
        <f>SUM(BQ44:BT44)</f>
        <v>0.5</v>
      </c>
      <c r="BW44" s="16">
        <v>0.5</v>
      </c>
      <c r="BX44" s="16">
        <v>1.2</v>
      </c>
      <c r="BY44" s="16">
        <v>0.6</v>
      </c>
      <c r="BZ44" s="16">
        <v>32</v>
      </c>
      <c r="CA44" s="39">
        <f>SUM(BW44:BZ44)</f>
        <v>34.299999999999997</v>
      </c>
      <c r="CC44" s="16">
        <v>-0.2</v>
      </c>
      <c r="CD44" s="16">
        <v>0.1</v>
      </c>
      <c r="CE44" s="16">
        <v>-0.1</v>
      </c>
      <c r="CF44" s="16">
        <v>-1.6</v>
      </c>
      <c r="CG44" s="39">
        <f>SUM(CC44:CF44)</f>
        <v>-1.8</v>
      </c>
      <c r="CI44" s="16">
        <v>-0.8</v>
      </c>
      <c r="CJ44" s="16">
        <v>-0.6</v>
      </c>
      <c r="CK44" s="16">
        <v>-0.8</v>
      </c>
      <c r="CL44" s="16">
        <v>-1.1000000000000001</v>
      </c>
      <c r="CM44" s="39">
        <f>SUM(CI44:CL44)</f>
        <v>-3.3000000000000003</v>
      </c>
      <c r="CO44" s="16">
        <v>-0.8</v>
      </c>
      <c r="CP44" s="16"/>
      <c r="CQ44" s="16"/>
      <c r="CR44" s="16"/>
      <c r="CS44" s="39">
        <f>SUM(CO44:CR44)</f>
        <v>-0.8</v>
      </c>
    </row>
    <row r="45" spans="1:97" ht="12.75" customHeight="1" x14ac:dyDescent="0.2">
      <c r="A45" s="2" t="s">
        <v>131</v>
      </c>
      <c r="C45" s="15">
        <v>0</v>
      </c>
      <c r="D45" s="15">
        <v>8</v>
      </c>
      <c r="E45" s="15">
        <v>0</v>
      </c>
      <c r="F45" s="15">
        <v>0</v>
      </c>
      <c r="G45" s="39">
        <f>SUM(C45:F45)</f>
        <v>8</v>
      </c>
      <c r="I45" s="15">
        <v>0</v>
      </c>
      <c r="J45" s="15">
        <v>12</v>
      </c>
      <c r="K45" s="15">
        <v>0</v>
      </c>
      <c r="L45" s="15">
        <v>0</v>
      </c>
      <c r="M45" s="39">
        <f>SUM(I45:L45)</f>
        <v>12</v>
      </c>
      <c r="O45" s="15">
        <v>0</v>
      </c>
      <c r="P45" s="15">
        <v>10</v>
      </c>
      <c r="Q45" s="15">
        <v>0</v>
      </c>
      <c r="R45" s="15">
        <v>0</v>
      </c>
      <c r="S45" s="39">
        <f>SUM(O45:R45)</f>
        <v>10</v>
      </c>
      <c r="U45" s="15">
        <v>0</v>
      </c>
      <c r="V45" s="15">
        <v>11</v>
      </c>
      <c r="W45" s="15">
        <v>0</v>
      </c>
      <c r="X45" s="15">
        <v>0</v>
      </c>
      <c r="Y45" s="39">
        <f>SUM(U45:X45)</f>
        <v>11</v>
      </c>
      <c r="AA45" s="16">
        <v>0</v>
      </c>
      <c r="AB45" s="17">
        <v>0</v>
      </c>
      <c r="AC45" s="17">
        <v>0</v>
      </c>
      <c r="AD45" s="17">
        <v>0</v>
      </c>
      <c r="AE45" s="39">
        <f>SUM(AA45:AD45)</f>
        <v>0</v>
      </c>
      <c r="AG45" s="16">
        <v>3.5</v>
      </c>
      <c r="AH45" s="16">
        <v>0</v>
      </c>
      <c r="AI45" s="16">
        <v>0</v>
      </c>
      <c r="AJ45" s="17">
        <v>0</v>
      </c>
      <c r="AK45" s="39">
        <f>SUM(AG45:AJ45)</f>
        <v>3.5</v>
      </c>
      <c r="AM45" s="16">
        <v>2</v>
      </c>
      <c r="AN45" s="16">
        <v>0</v>
      </c>
      <c r="AO45" s="16">
        <v>0</v>
      </c>
      <c r="AP45" s="17">
        <v>0</v>
      </c>
      <c r="AQ45" s="39">
        <f>SUM(AM45:AP45)</f>
        <v>2</v>
      </c>
      <c r="AS45" s="16">
        <v>0</v>
      </c>
      <c r="AT45" s="16">
        <v>2</v>
      </c>
      <c r="AU45" s="16">
        <v>0</v>
      </c>
      <c r="AV45" s="17">
        <v>0</v>
      </c>
      <c r="AW45" s="39">
        <f>SUM(AS45:AV45)</f>
        <v>2</v>
      </c>
      <c r="AY45" s="16">
        <v>8</v>
      </c>
      <c r="AZ45" s="16">
        <v>0</v>
      </c>
      <c r="BA45" s="16">
        <v>0</v>
      </c>
      <c r="BB45" s="17">
        <v>0</v>
      </c>
      <c r="BC45" s="39">
        <f>SUM(AY45:BB45)</f>
        <v>8</v>
      </c>
      <c r="BE45" s="16">
        <v>3.5</v>
      </c>
      <c r="BF45" s="16">
        <v>0</v>
      </c>
      <c r="BG45" s="16">
        <v>0</v>
      </c>
      <c r="BH45" s="17">
        <v>0</v>
      </c>
      <c r="BI45" s="39">
        <f>SUM(BE45:BH45)</f>
        <v>3.5</v>
      </c>
      <c r="BK45" s="16">
        <v>4</v>
      </c>
      <c r="BL45" s="16">
        <v>0</v>
      </c>
      <c r="BM45" s="16">
        <v>0</v>
      </c>
      <c r="BN45" s="17">
        <v>0</v>
      </c>
      <c r="BO45" s="39">
        <f>SUM(BK45:BN45)</f>
        <v>4</v>
      </c>
      <c r="BQ45" s="16">
        <v>0</v>
      </c>
      <c r="BR45" s="16">
        <v>4</v>
      </c>
      <c r="BS45" s="16">
        <v>0</v>
      </c>
      <c r="BT45" s="17">
        <v>0</v>
      </c>
      <c r="BU45" s="39">
        <f>SUM(BQ45:BT45)</f>
        <v>4</v>
      </c>
      <c r="BW45" s="16">
        <v>0</v>
      </c>
      <c r="BX45" s="16">
        <v>0</v>
      </c>
      <c r="BY45" s="16">
        <v>0</v>
      </c>
      <c r="BZ45" s="17">
        <v>0</v>
      </c>
      <c r="CA45" s="39">
        <f>SUM(BW45:BZ45)</f>
        <v>0</v>
      </c>
      <c r="CC45" s="16">
        <v>0</v>
      </c>
      <c r="CD45" s="16">
        <v>0</v>
      </c>
      <c r="CE45" s="16">
        <v>0</v>
      </c>
      <c r="CF45" s="17">
        <v>0</v>
      </c>
      <c r="CG45" s="39">
        <f>SUM(CC45:CF45)</f>
        <v>0</v>
      </c>
      <c r="CI45" s="16">
        <v>0</v>
      </c>
      <c r="CJ45" s="16">
        <v>0</v>
      </c>
      <c r="CK45" s="16">
        <v>0</v>
      </c>
      <c r="CL45" s="17">
        <v>0</v>
      </c>
      <c r="CM45" s="39">
        <f>SUM(CI45:CL45)</f>
        <v>0</v>
      </c>
      <c r="CO45" s="16">
        <v>0</v>
      </c>
      <c r="CP45" s="16"/>
      <c r="CQ45" s="16"/>
      <c r="CR45" s="17"/>
      <c r="CS45" s="39">
        <f>SUM(CO45:CR45)</f>
        <v>0</v>
      </c>
    </row>
    <row r="46" spans="1:97" ht="12.75" customHeight="1" x14ac:dyDescent="0.2">
      <c r="A46" s="2" t="s">
        <v>130</v>
      </c>
      <c r="C46" s="15">
        <v>15.033557046979865</v>
      </c>
      <c r="D46" s="15">
        <v>14.899328859060402</v>
      </c>
      <c r="E46" s="15">
        <v>14.765100671140939</v>
      </c>
      <c r="F46" s="15">
        <v>15.302013422818792</v>
      </c>
      <c r="G46" s="36"/>
      <c r="I46" s="15">
        <v>15.570469798657717</v>
      </c>
      <c r="J46" s="15">
        <v>14.496644295302014</v>
      </c>
      <c r="K46" s="15">
        <v>15.302013422818792</v>
      </c>
      <c r="L46" s="15">
        <v>15.973154362416107</v>
      </c>
      <c r="M46" s="36"/>
      <c r="O46" s="15">
        <v>16.51006711409396</v>
      </c>
      <c r="P46" s="15">
        <v>16.241610738255034</v>
      </c>
      <c r="Q46" s="15">
        <v>16.912751677852349</v>
      </c>
      <c r="R46" s="15">
        <v>18.389261744966444</v>
      </c>
      <c r="S46" s="36"/>
      <c r="U46" s="15">
        <v>19.060402684563758</v>
      </c>
      <c r="V46" s="15">
        <v>19.060402684563758</v>
      </c>
      <c r="W46" s="15">
        <v>20.402684563758388</v>
      </c>
      <c r="X46" s="15">
        <v>19.463087248322147</v>
      </c>
      <c r="Y46" s="36"/>
      <c r="AA46" s="16">
        <v>19.597315436241612</v>
      </c>
      <c r="AB46" s="17">
        <v>19.865771812080535</v>
      </c>
      <c r="AC46" s="16">
        <v>20.134228187919462</v>
      </c>
      <c r="AD46" s="16">
        <v>21.073825503355703</v>
      </c>
      <c r="AE46" s="36"/>
      <c r="AG46" s="18">
        <v>21.610738255033556</v>
      </c>
      <c r="AH46" s="18">
        <f>+AH28/AH42*1000</f>
        <v>22.78791799289899</v>
      </c>
      <c r="AI46" s="18">
        <f>+AI28/'OLD Valuation 2005-2019'!AD7*1000</f>
        <v>22.646503789970694</v>
      </c>
      <c r="AJ46" s="18">
        <f>+AJ28/'OLD Valuation 2005-2019'!AE7*1000</f>
        <v>23.287549613684796</v>
      </c>
      <c r="AK46" s="36"/>
      <c r="AM46" s="16">
        <f>(+AM28/'OLD Valuation 2005-2019'!AG7*1000)/7.45</f>
        <v>3.0375720051955337</v>
      </c>
      <c r="AN46" s="16">
        <f>(+AN28/'OLD Valuation 2005-2019'!AH7*1000)/7.45</f>
        <v>3.0330030826507421</v>
      </c>
      <c r="AO46" s="16">
        <f>(+AO28/'OLD Valuation 2005-2019'!AI7*1000)/7.45</f>
        <v>3.0459483631943187</v>
      </c>
      <c r="AP46" s="16">
        <f>(+AP28/'OLD Valuation 2005-2019'!AJ7*1000)/7.45</f>
        <v>3.0916375886422327</v>
      </c>
      <c r="AQ46" s="36"/>
      <c r="AS46" s="18">
        <v>23.221476510067113</v>
      </c>
      <c r="AT46" s="18">
        <v>31.275167785234899</v>
      </c>
      <c r="AU46" s="18">
        <v>31.812080536912752</v>
      </c>
      <c r="AV46" s="18">
        <v>32.348993288590606</v>
      </c>
      <c r="AW46" s="36"/>
      <c r="AY46" s="18">
        <v>31.349735249206759</v>
      </c>
      <c r="AZ46" s="18">
        <v>31.529809118884486</v>
      </c>
      <c r="BA46" s="18">
        <v>31.574827586303922</v>
      </c>
      <c r="BB46" s="18">
        <v>31.889956858239938</v>
      </c>
      <c r="BC46" s="36"/>
      <c r="BE46" s="18">
        <v>31.507643557404254</v>
      </c>
      <c r="BF46" s="18">
        <v>31.985884575686285</v>
      </c>
      <c r="BG46" s="18">
        <v>33.268695777666309</v>
      </c>
      <c r="BH46" s="18">
        <v>33.583772213240358</v>
      </c>
      <c r="BI46" s="36"/>
      <c r="BK46" s="18">
        <v>35.131273208005808</v>
      </c>
      <c r="BL46" s="18">
        <v>33.28841244226097</v>
      </c>
      <c r="BM46" s="18">
        <v>33.132520897122433</v>
      </c>
      <c r="BN46" s="18">
        <v>34</v>
      </c>
      <c r="BO46" s="36"/>
      <c r="BQ46" s="18">
        <f>+BQ28*1000/BQ42</f>
        <v>32.932337001149612</v>
      </c>
      <c r="BR46" s="18">
        <v>34</v>
      </c>
      <c r="BS46" s="18">
        <v>32</v>
      </c>
      <c r="BT46" s="18">
        <v>35</v>
      </c>
      <c r="BU46" s="36"/>
      <c r="BW46" s="18">
        <f>+BW28*1000/BW42</f>
        <v>35.887111669314024</v>
      </c>
      <c r="BX46" s="18">
        <f>+BX28*1000/BX42</f>
        <v>36.227500737680735</v>
      </c>
      <c r="BY46" s="18">
        <f>+BY28*1000/BY42</f>
        <v>36.618004866180051</v>
      </c>
      <c r="BZ46" s="18">
        <f>+BZ28*1000/BZ42</f>
        <v>30.092899800928997</v>
      </c>
      <c r="CA46" s="36"/>
      <c r="CC46" s="18">
        <f>+CC28*1000/CC42</f>
        <v>28.566688785666887</v>
      </c>
      <c r="CD46" s="18">
        <v>28</v>
      </c>
      <c r="CE46" s="18">
        <f>+CE28*1000/CE42</f>
        <v>28.551942785519429</v>
      </c>
      <c r="CF46" s="18">
        <f>+CF28*1000/CF42</f>
        <v>27.398068273980684</v>
      </c>
      <c r="CG46" s="36"/>
      <c r="CI46" s="18">
        <f>+CI28*1000/CI42</f>
        <v>26.314237263142374</v>
      </c>
      <c r="CJ46" s="18">
        <f>+CJ28*1000/CJ42</f>
        <v>25.352060753520608</v>
      </c>
      <c r="CK46" s="18">
        <f>+CK28*1000/CK42</f>
        <v>24.183440241834404</v>
      </c>
      <c r="CL46" s="18">
        <f>+CL28*1000/CL42</f>
        <v>23.895818048422598</v>
      </c>
      <c r="CM46" s="36"/>
      <c r="CO46" s="271">
        <f>+CO28*1000/CO42</f>
        <v>20.875334481873832</v>
      </c>
      <c r="CP46" s="18"/>
      <c r="CQ46" s="18"/>
      <c r="CR46" s="18"/>
      <c r="CS46" s="36"/>
    </row>
    <row r="47" spans="1:97" s="164" customFormat="1" ht="12.75" customHeight="1" x14ac:dyDescent="0.2">
      <c r="A47" s="164" t="s">
        <v>129</v>
      </c>
      <c r="C47" s="164">
        <v>198</v>
      </c>
      <c r="D47" s="164">
        <v>229</v>
      </c>
      <c r="E47" s="164">
        <v>262</v>
      </c>
      <c r="F47" s="164">
        <v>289</v>
      </c>
      <c r="G47" s="190"/>
      <c r="I47" s="164">
        <v>389</v>
      </c>
      <c r="J47" s="164">
        <v>366</v>
      </c>
      <c r="K47" s="164">
        <v>442</v>
      </c>
      <c r="L47" s="164">
        <v>503</v>
      </c>
      <c r="M47" s="190"/>
      <c r="O47" s="164">
        <v>449</v>
      </c>
      <c r="P47" s="164">
        <v>549</v>
      </c>
      <c r="Q47" s="164">
        <v>586</v>
      </c>
      <c r="R47" s="164">
        <v>459</v>
      </c>
      <c r="S47" s="190"/>
      <c r="U47" s="164">
        <v>340</v>
      </c>
      <c r="V47" s="164">
        <v>383</v>
      </c>
      <c r="W47" s="164">
        <v>245</v>
      </c>
      <c r="X47" s="164">
        <v>106</v>
      </c>
      <c r="Y47" s="190"/>
      <c r="AA47" s="191">
        <v>97</v>
      </c>
      <c r="AB47" s="192">
        <v>179</v>
      </c>
      <c r="AC47" s="191">
        <v>297</v>
      </c>
      <c r="AD47" s="193">
        <v>291</v>
      </c>
      <c r="AE47" s="190"/>
      <c r="AG47" s="191">
        <v>305</v>
      </c>
      <c r="AH47" s="194">
        <v>274</v>
      </c>
      <c r="AI47" s="191">
        <v>270</v>
      </c>
      <c r="AJ47" s="193">
        <v>297</v>
      </c>
      <c r="AK47" s="190"/>
      <c r="AM47" s="192">
        <f>+'OLD Valuation 2005-2019'!AG9</f>
        <v>309</v>
      </c>
      <c r="AN47" s="192">
        <f>+'OLD Valuation 2005-2019'!AH9</f>
        <v>329</v>
      </c>
      <c r="AO47" s="192">
        <f>+'OLD Valuation 2005-2019'!AI9</f>
        <v>202</v>
      </c>
      <c r="AP47" s="192">
        <f>+'OLD Valuation 2005-2019'!AJ9</f>
        <v>191</v>
      </c>
      <c r="AQ47" s="190"/>
      <c r="AS47" s="192">
        <f>+'OLD Valuation 2005-2019'!AL9</f>
        <v>254</v>
      </c>
      <c r="AT47" s="192">
        <v>190</v>
      </c>
      <c r="AU47" s="192">
        <v>202</v>
      </c>
      <c r="AV47" s="192">
        <v>204</v>
      </c>
      <c r="AW47" s="190"/>
      <c r="AY47" s="192">
        <f>+'OLD Valuation 2005-2019'!AQ9</f>
        <v>216</v>
      </c>
      <c r="AZ47" s="192">
        <f>+'OLD Valuation 2005-2019'!AR9</f>
        <v>208</v>
      </c>
      <c r="BA47" s="194">
        <f>+'OLD Valuation 2005-2019'!AS9</f>
        <v>274</v>
      </c>
      <c r="BB47" s="194">
        <f>+'OLD Valuation 2005-2019'!AT9</f>
        <v>268</v>
      </c>
      <c r="BC47" s="165"/>
      <c r="BE47" s="192">
        <f>+'OLD Valuation 2005-2019'!AV9</f>
        <v>314</v>
      </c>
      <c r="BF47" s="192">
        <f>+'OLD Valuation 2005-2019'!AW9</f>
        <v>374</v>
      </c>
      <c r="BG47" s="194">
        <v>325</v>
      </c>
      <c r="BH47" s="194">
        <v>332</v>
      </c>
      <c r="BI47" s="190"/>
      <c r="BK47" s="192">
        <f>+'OLD Valuation 2005-2019'!BA9</f>
        <v>445</v>
      </c>
      <c r="BL47" s="192">
        <f>+'OLD Valuation 2005-2019'!BB9</f>
        <v>384</v>
      </c>
      <c r="BM47" s="194">
        <v>352</v>
      </c>
      <c r="BN47" s="194">
        <v>357</v>
      </c>
      <c r="BO47" s="190"/>
      <c r="BQ47" s="192">
        <v>378</v>
      </c>
      <c r="BR47" s="192">
        <v>337</v>
      </c>
      <c r="BS47" s="194">
        <v>427</v>
      </c>
      <c r="BT47" s="194">
        <v>499</v>
      </c>
      <c r="BU47" s="190"/>
      <c r="BW47" s="192">
        <v>512</v>
      </c>
      <c r="BX47" s="192">
        <v>522</v>
      </c>
      <c r="BY47" s="194">
        <v>539</v>
      </c>
      <c r="BZ47" s="194">
        <v>283</v>
      </c>
      <c r="CA47" s="190"/>
      <c r="CC47" s="192">
        <v>197</v>
      </c>
      <c r="CD47" s="192">
        <v>175</v>
      </c>
      <c r="CE47" s="194">
        <v>167</v>
      </c>
      <c r="CF47" s="194">
        <v>89</v>
      </c>
      <c r="CG47" s="190"/>
      <c r="CI47" s="192">
        <v>118</v>
      </c>
      <c r="CJ47" s="192">
        <v>101</v>
      </c>
      <c r="CK47" s="194">
        <v>133</v>
      </c>
      <c r="CL47" s="194">
        <v>161</v>
      </c>
      <c r="CM47" s="190"/>
      <c r="CO47" s="192">
        <v>122</v>
      </c>
      <c r="CP47" s="192"/>
      <c r="CQ47" s="194"/>
      <c r="CR47" s="194"/>
      <c r="CS47" s="190"/>
    </row>
    <row r="48" spans="1:97" ht="11.1" customHeight="1" x14ac:dyDescent="0.2">
      <c r="A48" s="149" t="s">
        <v>135</v>
      </c>
      <c r="AC48" s="20"/>
      <c r="AD48" s="20"/>
      <c r="AG48" s="20"/>
      <c r="AH48" s="20"/>
      <c r="BP48" s="147"/>
      <c r="BQ48" s="147" t="s">
        <v>162</v>
      </c>
      <c r="CF48" s="235"/>
      <c r="CG48" s="235"/>
      <c r="CL48" s="235"/>
      <c r="CM48" s="235"/>
    </row>
    <row r="49" spans="1:69" ht="11.1" customHeight="1" x14ac:dyDescent="0.2">
      <c r="A49" s="149" t="s">
        <v>136</v>
      </c>
      <c r="J49" s="7"/>
      <c r="P49" s="7"/>
      <c r="U49" s="7"/>
      <c r="V49" s="7"/>
      <c r="W49" s="7"/>
      <c r="X49" s="7"/>
      <c r="AA49" s="7"/>
      <c r="AB49" s="7"/>
      <c r="AC49" s="20"/>
      <c r="AD49" s="20"/>
      <c r="AG49" s="20"/>
      <c r="AH49" s="20"/>
      <c r="AI49" s="20"/>
      <c r="AJ49" s="7"/>
      <c r="BP49" s="147"/>
      <c r="BQ49" s="147" t="s">
        <v>163</v>
      </c>
    </row>
    <row r="50" spans="1:69" ht="11.1" customHeight="1" x14ac:dyDescent="0.2">
      <c r="A50" s="149" t="s">
        <v>134</v>
      </c>
      <c r="P50" s="7"/>
      <c r="U50" s="21"/>
      <c r="V50" s="21"/>
      <c r="W50" s="21"/>
      <c r="X50" s="21"/>
      <c r="AA50" s="21"/>
      <c r="AB50" s="21"/>
      <c r="AC50" s="21"/>
      <c r="AD50" s="21"/>
      <c r="AG50" s="22"/>
      <c r="AH50" s="22"/>
      <c r="AI50" s="22"/>
      <c r="AJ50" s="21"/>
    </row>
    <row r="51" spans="1:69" x14ac:dyDescent="0.2">
      <c r="J51" s="15"/>
      <c r="P51" s="15"/>
      <c r="V51" s="15"/>
    </row>
  </sheetData>
  <mergeCells count="31">
    <mergeCell ref="C2:G2"/>
    <mergeCell ref="C1:G1"/>
    <mergeCell ref="O2:S2"/>
    <mergeCell ref="I1:M1"/>
    <mergeCell ref="I2:M2"/>
    <mergeCell ref="O1:S1"/>
    <mergeCell ref="BW2:CA2"/>
    <mergeCell ref="U2:Y2"/>
    <mergeCell ref="AA2:AE2"/>
    <mergeCell ref="U1:Y1"/>
    <mergeCell ref="AM1:AQ1"/>
    <mergeCell ref="AM2:AQ2"/>
    <mergeCell ref="AG1:AK1"/>
    <mergeCell ref="AG2:AK2"/>
    <mergeCell ref="AA1:AE1"/>
    <mergeCell ref="CO2:CS2"/>
    <mergeCell ref="CI1:CM1"/>
    <mergeCell ref="CI2:CM2"/>
    <mergeCell ref="AS1:AW1"/>
    <mergeCell ref="AS2:AW2"/>
    <mergeCell ref="BK1:BO1"/>
    <mergeCell ref="BK2:BO2"/>
    <mergeCell ref="BQ1:BU1"/>
    <mergeCell ref="BQ2:BU2"/>
    <mergeCell ref="CC1:CG1"/>
    <mergeCell ref="CC2:CG2"/>
    <mergeCell ref="BE1:BI1"/>
    <mergeCell ref="BE2:BI2"/>
    <mergeCell ref="AY1:BC1"/>
    <mergeCell ref="AY2:BC2"/>
    <mergeCell ref="BW1:CA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48"/>
  <sheetViews>
    <sheetView showGridLines="0" zoomScaleNormal="100" zoomScaleSheetLayoutView="85" workbookViewId="0">
      <pane xSplit="1" ySplit="3" topLeftCell="BO9" activePane="bottomRight" state="frozen"/>
      <selection activeCell="O4" sqref="O4"/>
      <selection pane="topRight" activeCell="O4" sqref="O4"/>
      <selection pane="bottomLeft" activeCell="O4" sqref="O4"/>
      <selection pane="bottomRight" activeCell="BZ40" sqref="BZ40"/>
    </sheetView>
  </sheetViews>
  <sheetFormatPr defaultColWidth="9.140625" defaultRowHeight="12.75" x14ac:dyDescent="0.2"/>
  <cols>
    <col min="1" max="1" width="36.42578125" style="15" customWidth="1"/>
    <col min="2" max="2" width="4.7109375" style="96" customWidth="1"/>
    <col min="3" max="6" width="8.7109375" style="15" customWidth="1"/>
    <col min="7" max="7" width="4.7109375" style="96" customWidth="1"/>
    <col min="8" max="11" width="8.7109375" style="15" customWidth="1"/>
    <col min="12" max="12" width="4.7109375" style="96" customWidth="1"/>
    <col min="13" max="16" width="8.7109375" style="15" customWidth="1"/>
    <col min="17" max="17" width="4.7109375" style="96" customWidth="1"/>
    <col min="18" max="21" width="8.7109375" style="15" customWidth="1"/>
    <col min="22" max="22" width="4.7109375" style="96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62" width="4.5703125" style="15" customWidth="1"/>
    <col min="63" max="66" width="8.7109375" style="15" customWidth="1"/>
    <col min="67" max="67" width="4.28515625" style="15" customWidth="1"/>
    <col min="68" max="71" width="8.7109375" style="15" customWidth="1"/>
    <col min="72" max="72" width="4.28515625" style="15" customWidth="1"/>
    <col min="73" max="76" width="8.7109375" style="15" customWidth="1"/>
    <col min="77" max="77" width="9.140625" style="15"/>
    <col min="78" max="81" width="8.7109375" style="15" customWidth="1"/>
    <col min="82" max="16384" width="9.140625" style="15"/>
  </cols>
  <sheetData>
    <row r="1" spans="1:81" x14ac:dyDescent="0.2">
      <c r="B1" s="93"/>
      <c r="C1" s="279"/>
      <c r="D1" s="279"/>
      <c r="E1" s="279"/>
      <c r="F1" s="279"/>
      <c r="G1" s="93"/>
      <c r="H1" s="279"/>
      <c r="I1" s="279"/>
      <c r="J1" s="279"/>
      <c r="K1" s="279"/>
      <c r="L1" s="93"/>
      <c r="M1" s="279"/>
      <c r="N1" s="279"/>
      <c r="O1" s="279"/>
      <c r="P1" s="279"/>
      <c r="Q1" s="93"/>
      <c r="R1" s="279"/>
      <c r="S1" s="279"/>
      <c r="T1" s="279"/>
      <c r="U1" s="279"/>
      <c r="V1" s="93"/>
      <c r="W1" s="279"/>
      <c r="X1" s="279"/>
      <c r="Y1" s="279"/>
      <c r="Z1" s="279"/>
      <c r="AB1" s="279"/>
      <c r="AC1" s="279"/>
      <c r="AD1" s="279"/>
      <c r="AE1" s="279"/>
      <c r="AG1" s="279"/>
      <c r="AH1" s="279"/>
      <c r="AI1" s="279"/>
      <c r="AJ1" s="279"/>
      <c r="AL1" s="279"/>
      <c r="AM1" s="279"/>
      <c r="AN1" s="279"/>
      <c r="AO1" s="279"/>
      <c r="AQ1" s="279"/>
      <c r="AR1" s="279"/>
      <c r="AS1" s="279"/>
      <c r="AT1" s="279"/>
      <c r="AV1" s="279"/>
      <c r="AW1" s="279"/>
      <c r="AX1" s="279"/>
      <c r="AY1" s="279"/>
      <c r="BA1" s="279"/>
      <c r="BB1" s="279"/>
      <c r="BC1" s="279"/>
      <c r="BD1" s="279"/>
      <c r="BF1" s="279"/>
      <c r="BG1" s="279"/>
      <c r="BH1" s="279"/>
      <c r="BI1" s="279"/>
      <c r="BK1" s="275" t="s">
        <v>167</v>
      </c>
      <c r="BL1" s="275"/>
      <c r="BM1" s="275"/>
      <c r="BN1" s="275"/>
      <c r="BO1" s="275"/>
    </row>
    <row r="2" spans="1:81" x14ac:dyDescent="0.2">
      <c r="A2" s="94" t="s">
        <v>154</v>
      </c>
      <c r="B2" s="95"/>
      <c r="C2" s="277" t="s">
        <v>112</v>
      </c>
      <c r="D2" s="278"/>
      <c r="E2" s="278"/>
      <c r="F2" s="278"/>
      <c r="G2" s="95"/>
      <c r="H2" s="277" t="s">
        <v>113</v>
      </c>
      <c r="I2" s="278"/>
      <c r="J2" s="278"/>
      <c r="K2" s="278"/>
      <c r="L2" s="95"/>
      <c r="M2" s="277" t="s">
        <v>114</v>
      </c>
      <c r="N2" s="278"/>
      <c r="O2" s="278"/>
      <c r="P2" s="278"/>
      <c r="Q2" s="95"/>
      <c r="R2" s="277" t="s">
        <v>115</v>
      </c>
      <c r="S2" s="278"/>
      <c r="T2" s="278"/>
      <c r="U2" s="278"/>
      <c r="V2" s="95"/>
      <c r="W2" s="277" t="s">
        <v>116</v>
      </c>
      <c r="X2" s="278"/>
      <c r="Y2" s="278"/>
      <c r="Z2" s="278"/>
      <c r="AB2" s="277" t="s">
        <v>117</v>
      </c>
      <c r="AC2" s="278"/>
      <c r="AD2" s="278"/>
      <c r="AE2" s="278"/>
      <c r="AG2" s="277" t="s">
        <v>122</v>
      </c>
      <c r="AH2" s="278"/>
      <c r="AI2" s="278"/>
      <c r="AJ2" s="278"/>
      <c r="AL2" s="277" t="s">
        <v>121</v>
      </c>
      <c r="AM2" s="278"/>
      <c r="AN2" s="278"/>
      <c r="AO2" s="278"/>
      <c r="AQ2" s="277" t="s">
        <v>120</v>
      </c>
      <c r="AR2" s="278"/>
      <c r="AS2" s="278"/>
      <c r="AT2" s="278"/>
      <c r="AV2" s="277" t="s">
        <v>119</v>
      </c>
      <c r="AW2" s="278"/>
      <c r="AX2" s="278"/>
      <c r="AY2" s="278"/>
      <c r="BA2" s="277" t="s">
        <v>118</v>
      </c>
      <c r="BB2" s="278"/>
      <c r="BC2" s="278"/>
      <c r="BD2" s="278"/>
      <c r="BF2" s="277" t="s">
        <v>133</v>
      </c>
      <c r="BG2" s="278"/>
      <c r="BH2" s="278"/>
      <c r="BI2" s="278"/>
      <c r="BK2" s="277" t="s">
        <v>161</v>
      </c>
      <c r="BL2" s="278"/>
      <c r="BM2" s="278"/>
      <c r="BN2" s="278"/>
      <c r="BP2" s="277" t="s">
        <v>175</v>
      </c>
      <c r="BQ2" s="278"/>
      <c r="BR2" s="278"/>
      <c r="BS2" s="278"/>
      <c r="BU2" s="277" t="s">
        <v>179</v>
      </c>
      <c r="BV2" s="278"/>
      <c r="BW2" s="278"/>
      <c r="BX2" s="278"/>
      <c r="BZ2" s="277" t="s">
        <v>181</v>
      </c>
      <c r="CA2" s="278"/>
      <c r="CB2" s="278"/>
      <c r="CC2" s="278"/>
    </row>
    <row r="3" spans="1:81" s="187" customFormat="1" x14ac:dyDescent="0.2">
      <c r="A3" s="183" t="s">
        <v>123</v>
      </c>
      <c r="B3" s="185"/>
      <c r="C3" s="185" t="s">
        <v>10</v>
      </c>
      <c r="D3" s="185" t="s">
        <v>11</v>
      </c>
      <c r="E3" s="185" t="s">
        <v>12</v>
      </c>
      <c r="F3" s="185" t="s">
        <v>13</v>
      </c>
      <c r="G3" s="185"/>
      <c r="H3" s="185" t="s">
        <v>10</v>
      </c>
      <c r="I3" s="185" t="s">
        <v>11</v>
      </c>
      <c r="J3" s="185" t="s">
        <v>12</v>
      </c>
      <c r="K3" s="185" t="s">
        <v>13</v>
      </c>
      <c r="L3" s="185"/>
      <c r="M3" s="185" t="s">
        <v>10</v>
      </c>
      <c r="N3" s="185" t="s">
        <v>11</v>
      </c>
      <c r="O3" s="185" t="s">
        <v>12</v>
      </c>
      <c r="P3" s="185" t="s">
        <v>13</v>
      </c>
      <c r="Q3" s="185"/>
      <c r="R3" s="185" t="s">
        <v>10</v>
      </c>
      <c r="S3" s="185" t="s">
        <v>11</v>
      </c>
      <c r="T3" s="185" t="s">
        <v>12</v>
      </c>
      <c r="U3" s="185" t="s">
        <v>13</v>
      </c>
      <c r="V3" s="185"/>
      <c r="W3" s="185" t="s">
        <v>10</v>
      </c>
      <c r="X3" s="185" t="s">
        <v>11</v>
      </c>
      <c r="Y3" s="185" t="s">
        <v>12</v>
      </c>
      <c r="Z3" s="185" t="s">
        <v>13</v>
      </c>
      <c r="AB3" s="185" t="s">
        <v>10</v>
      </c>
      <c r="AC3" s="185" t="s">
        <v>11</v>
      </c>
      <c r="AD3" s="185" t="s">
        <v>12</v>
      </c>
      <c r="AE3" s="185" t="s">
        <v>13</v>
      </c>
      <c r="AG3" s="185" t="s">
        <v>10</v>
      </c>
      <c r="AH3" s="185" t="s">
        <v>11</v>
      </c>
      <c r="AI3" s="185" t="s">
        <v>12</v>
      </c>
      <c r="AJ3" s="185" t="s">
        <v>13</v>
      </c>
      <c r="AL3" s="185" t="s">
        <v>10</v>
      </c>
      <c r="AM3" s="185" t="s">
        <v>11</v>
      </c>
      <c r="AN3" s="185" t="s">
        <v>12</v>
      </c>
      <c r="AO3" s="185" t="s">
        <v>13</v>
      </c>
      <c r="AQ3" s="185" t="s">
        <v>10</v>
      </c>
      <c r="AR3" s="185" t="s">
        <v>11</v>
      </c>
      <c r="AS3" s="185" t="s">
        <v>12</v>
      </c>
      <c r="AT3" s="185" t="s">
        <v>13</v>
      </c>
      <c r="AV3" s="185" t="s">
        <v>10</v>
      </c>
      <c r="AW3" s="186" t="s">
        <v>11</v>
      </c>
      <c r="AX3" s="186" t="s">
        <v>12</v>
      </c>
      <c r="AY3" s="186" t="s">
        <v>13</v>
      </c>
      <c r="AZ3" s="188"/>
      <c r="BA3" s="186" t="s">
        <v>10</v>
      </c>
      <c r="BB3" s="186" t="s">
        <v>11</v>
      </c>
      <c r="BC3" s="186" t="s">
        <v>12</v>
      </c>
      <c r="BD3" s="186" t="s">
        <v>13</v>
      </c>
      <c r="BE3" s="188"/>
      <c r="BF3" s="186" t="s">
        <v>10</v>
      </c>
      <c r="BG3" s="186" t="s">
        <v>11</v>
      </c>
      <c r="BH3" s="186" t="s">
        <v>12</v>
      </c>
      <c r="BI3" s="186" t="s">
        <v>13</v>
      </c>
      <c r="BJ3" s="188"/>
      <c r="BK3" s="186" t="s">
        <v>10</v>
      </c>
      <c r="BL3" s="186" t="s">
        <v>11</v>
      </c>
      <c r="BM3" s="186" t="s">
        <v>12</v>
      </c>
      <c r="BN3" s="186" t="s">
        <v>13</v>
      </c>
      <c r="BP3" s="186" t="s">
        <v>10</v>
      </c>
      <c r="BQ3" s="186" t="s">
        <v>11</v>
      </c>
      <c r="BR3" s="186" t="s">
        <v>12</v>
      </c>
      <c r="BS3" s="186" t="s">
        <v>13</v>
      </c>
      <c r="BU3" s="186" t="s">
        <v>10</v>
      </c>
      <c r="BV3" s="186" t="s">
        <v>11</v>
      </c>
      <c r="BW3" s="186" t="s">
        <v>12</v>
      </c>
      <c r="BX3" s="186" t="s">
        <v>13</v>
      </c>
      <c r="BZ3" s="186" t="s">
        <v>10</v>
      </c>
      <c r="CA3" s="186" t="s">
        <v>11</v>
      </c>
      <c r="CB3" s="186" t="s">
        <v>12</v>
      </c>
      <c r="CC3" s="186" t="s">
        <v>13</v>
      </c>
    </row>
    <row r="4" spans="1:81" x14ac:dyDescent="0.2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  <c r="BQ4" s="97"/>
      <c r="BS4" s="97"/>
      <c r="BV4" s="97"/>
      <c r="BX4" s="97"/>
      <c r="CA4" s="97"/>
      <c r="CC4" s="97"/>
    </row>
    <row r="5" spans="1:81" x14ac:dyDescent="0.2">
      <c r="A5" s="96" t="s">
        <v>18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  <c r="BQ5" s="97"/>
      <c r="BS5" s="97"/>
      <c r="BV5" s="97"/>
      <c r="BX5" s="97"/>
      <c r="CA5" s="97"/>
      <c r="CC5" s="97"/>
    </row>
    <row r="6" spans="1:81" x14ac:dyDescent="0.2">
      <c r="A6" s="15" t="s">
        <v>58</v>
      </c>
      <c r="C6" s="200">
        <v>135.03355704697987</v>
      </c>
      <c r="D6" s="201">
        <v>139.19463087248323</v>
      </c>
      <c r="E6" s="200">
        <v>140</v>
      </c>
      <c r="F6" s="201">
        <v>135.70469798657717</v>
      </c>
      <c r="G6" s="202"/>
      <c r="H6" s="200">
        <v>135.9731543624161</v>
      </c>
      <c r="I6" s="201">
        <v>132.75167785234899</v>
      </c>
      <c r="J6" s="200">
        <v>133.55704697986576</v>
      </c>
      <c r="K6" s="201">
        <v>110.06711409395973</v>
      </c>
      <c r="L6" s="202"/>
      <c r="M6" s="200">
        <v>156.37583892617448</v>
      </c>
      <c r="N6" s="201">
        <v>165.63758389261744</v>
      </c>
      <c r="O6" s="200">
        <v>178.65771812080536</v>
      </c>
      <c r="P6" s="201">
        <v>186.17449664429529</v>
      </c>
      <c r="Q6" s="202"/>
      <c r="R6" s="200">
        <v>192.21476510067114</v>
      </c>
      <c r="S6" s="201">
        <v>202.14765100671141</v>
      </c>
      <c r="T6" s="200">
        <v>212.75167785234899</v>
      </c>
      <c r="U6" s="201">
        <v>212.75167785234899</v>
      </c>
      <c r="V6" s="202"/>
      <c r="W6" s="200">
        <v>220.40268456375838</v>
      </c>
      <c r="X6" s="201">
        <v>215.43624161073825</v>
      </c>
      <c r="Y6" s="200">
        <v>213.55704697986576</v>
      </c>
      <c r="Z6" s="201">
        <v>217.58389261744966</v>
      </c>
      <c r="AA6" s="200"/>
      <c r="AB6" s="200">
        <v>225.63758389261744</v>
      </c>
      <c r="AC6" s="201">
        <v>242.41610738255034</v>
      </c>
      <c r="AD6" s="200">
        <v>230.06711409395973</v>
      </c>
      <c r="AE6" s="201">
        <v>237.18120805369128</v>
      </c>
      <c r="AF6" s="200"/>
      <c r="AG6" s="200">
        <v>242.01342281879195</v>
      </c>
      <c r="AH6" s="201">
        <v>243.08724832214764</v>
      </c>
      <c r="AI6" s="200">
        <v>256.51006711409394</v>
      </c>
      <c r="AJ6" s="201">
        <v>266.8456375838926</v>
      </c>
      <c r="AK6" s="200"/>
      <c r="AL6" s="200">
        <v>263.48993288590606</v>
      </c>
      <c r="AM6" s="201">
        <v>272.34899328859058</v>
      </c>
      <c r="AN6" s="200">
        <v>271.14093959731542</v>
      </c>
      <c r="AO6" s="201">
        <v>269.53020134228188</v>
      </c>
      <c r="AP6" s="200"/>
      <c r="AQ6" s="200">
        <v>273.42281879194633</v>
      </c>
      <c r="AR6" s="201">
        <v>270.73825503355704</v>
      </c>
      <c r="AS6" s="200">
        <v>270.33557046979865</v>
      </c>
      <c r="AT6" s="201">
        <v>268.59060402684565</v>
      </c>
      <c r="AU6" s="200"/>
      <c r="AV6" s="200">
        <v>271.14093959731542</v>
      </c>
      <c r="AW6" s="201">
        <v>273.55704697986579</v>
      </c>
      <c r="AX6" s="200">
        <v>286.17449664429529</v>
      </c>
      <c r="AY6" s="201">
        <v>291.94630872483219</v>
      </c>
      <c r="AZ6" s="200"/>
      <c r="BA6" s="200">
        <v>311.54362416107381</v>
      </c>
      <c r="BB6" s="201">
        <v>322.14765100671138</v>
      </c>
      <c r="BC6" s="200">
        <v>319.59731543624162</v>
      </c>
      <c r="BD6" s="201">
        <v>333.2</v>
      </c>
      <c r="BE6" s="200"/>
      <c r="BF6" s="200">
        <v>369.2</v>
      </c>
      <c r="BG6" s="201">
        <v>373.5</v>
      </c>
      <c r="BH6" s="200">
        <v>366.1</v>
      </c>
      <c r="BI6" s="201">
        <v>73.5</v>
      </c>
      <c r="BJ6" s="200"/>
      <c r="BK6" s="200">
        <v>576.1</v>
      </c>
      <c r="BL6" s="201">
        <v>574.1</v>
      </c>
      <c r="BM6" s="200">
        <v>594.6</v>
      </c>
      <c r="BN6" s="201">
        <v>597.4</v>
      </c>
      <c r="BO6" s="200"/>
      <c r="BP6" s="200">
        <v>576.6</v>
      </c>
      <c r="BQ6" s="201">
        <v>571.9</v>
      </c>
      <c r="BR6" s="200">
        <v>578.20000000000005</v>
      </c>
      <c r="BS6" s="201">
        <v>589.20000000000005</v>
      </c>
      <c r="BT6" s="200"/>
      <c r="BU6" s="200">
        <v>584</v>
      </c>
      <c r="BV6" s="201">
        <v>582.29999999999995</v>
      </c>
      <c r="BW6" s="200">
        <v>581.1</v>
      </c>
      <c r="BX6" s="201">
        <v>594</v>
      </c>
      <c r="BZ6" s="200">
        <v>571.29999999999995</v>
      </c>
      <c r="CA6" s="201"/>
      <c r="CB6" s="200"/>
      <c r="CC6" s="201"/>
    </row>
    <row r="7" spans="1:81" x14ac:dyDescent="0.2">
      <c r="A7" s="15" t="s">
        <v>59</v>
      </c>
      <c r="C7" s="200">
        <v>103.22147651006711</v>
      </c>
      <c r="D7" s="201">
        <v>104.56375838926174</v>
      </c>
      <c r="E7" s="200">
        <v>108.05369127516778</v>
      </c>
      <c r="F7" s="201">
        <v>108.05369127516778</v>
      </c>
      <c r="G7" s="202"/>
      <c r="H7" s="200">
        <v>112.88590604026845</v>
      </c>
      <c r="I7" s="201">
        <v>100.67114093959731</v>
      </c>
      <c r="J7" s="200">
        <v>102.95302013422818</v>
      </c>
      <c r="K7" s="201">
        <v>108.59060402684564</v>
      </c>
      <c r="L7" s="202"/>
      <c r="M7" s="200">
        <v>141.87919463087249</v>
      </c>
      <c r="N7" s="201">
        <v>150.20134228187919</v>
      </c>
      <c r="O7" s="200">
        <v>189.79865771812081</v>
      </c>
      <c r="P7" s="201">
        <v>202.41610738255034</v>
      </c>
      <c r="Q7" s="202"/>
      <c r="R7" s="200">
        <v>213.95973154362414</v>
      </c>
      <c r="S7" s="201">
        <v>235.43624161073825</v>
      </c>
      <c r="T7" s="200">
        <v>251.54362416107381</v>
      </c>
      <c r="U7" s="201">
        <v>269.66442953020135</v>
      </c>
      <c r="V7" s="202"/>
      <c r="W7" s="200">
        <v>282.55033557046977</v>
      </c>
      <c r="X7" s="201">
        <v>314.49664429530202</v>
      </c>
      <c r="Y7" s="200">
        <v>342.01342281879192</v>
      </c>
      <c r="Z7" s="201">
        <v>357.98657718120802</v>
      </c>
      <c r="AA7" s="200"/>
      <c r="AB7" s="200">
        <v>396.6442953020134</v>
      </c>
      <c r="AC7" s="201">
        <v>410.33557046979865</v>
      </c>
      <c r="AD7" s="200">
        <v>419.73154362416108</v>
      </c>
      <c r="AE7" s="201">
        <v>432.88590604026842</v>
      </c>
      <c r="AF7" s="200"/>
      <c r="AG7" s="200">
        <v>433.55704697986579</v>
      </c>
      <c r="AH7" s="201">
        <v>437.98657718120802</v>
      </c>
      <c r="AI7" s="200">
        <v>441.744966442953</v>
      </c>
      <c r="AJ7" s="201">
        <v>437.58389261744964</v>
      </c>
      <c r="AK7" s="200"/>
      <c r="AL7" s="200">
        <v>440.53691275167785</v>
      </c>
      <c r="AM7" s="201">
        <v>437.04697986577179</v>
      </c>
      <c r="AN7" s="200">
        <v>435.30201342281879</v>
      </c>
      <c r="AO7" s="201">
        <v>436.51006711409394</v>
      </c>
      <c r="AP7" s="200"/>
      <c r="AQ7" s="200">
        <v>433.28859060402681</v>
      </c>
      <c r="AR7" s="201">
        <v>427.65100671140937</v>
      </c>
      <c r="AS7" s="200">
        <v>426.04026845637583</v>
      </c>
      <c r="AT7" s="201">
        <v>421.20805369127515</v>
      </c>
      <c r="AU7" s="200"/>
      <c r="AV7" s="200">
        <v>414.36241610738256</v>
      </c>
      <c r="AW7" s="201">
        <v>409.39597315436242</v>
      </c>
      <c r="AX7" s="200">
        <v>412.75167785234896</v>
      </c>
      <c r="AY7" s="201">
        <v>407.38255033557044</v>
      </c>
      <c r="AZ7" s="200"/>
      <c r="BA7" s="200">
        <v>410.33557046979865</v>
      </c>
      <c r="BB7" s="201">
        <v>368.05369127516775</v>
      </c>
      <c r="BC7" s="200">
        <v>361.87919463087246</v>
      </c>
      <c r="BD7" s="201">
        <v>367.2</v>
      </c>
      <c r="BE7" s="200"/>
      <c r="BF7" s="200">
        <v>365.5</v>
      </c>
      <c r="BG7" s="201">
        <v>359.3</v>
      </c>
      <c r="BH7" s="200">
        <v>334.4</v>
      </c>
      <c r="BI7" s="201">
        <v>272.8</v>
      </c>
      <c r="BJ7" s="200"/>
      <c r="BK7" s="200">
        <v>627.79999999999995</v>
      </c>
      <c r="BL7" s="201">
        <v>720.8</v>
      </c>
      <c r="BM7" s="200">
        <v>709.1</v>
      </c>
      <c r="BN7" s="201">
        <v>698.9</v>
      </c>
      <c r="BO7" s="200"/>
      <c r="BP7" s="200">
        <v>673.2</v>
      </c>
      <c r="BQ7" s="201">
        <v>656.2</v>
      </c>
      <c r="BR7" s="200">
        <v>651.20000000000005</v>
      </c>
      <c r="BS7" s="201">
        <v>645.20000000000005</v>
      </c>
      <c r="BT7" s="200"/>
      <c r="BU7" s="200">
        <f>625.5+35.4</f>
        <v>660.9</v>
      </c>
      <c r="BV7" s="201">
        <f>615.8+33.8</f>
        <v>649.59999999999991</v>
      </c>
      <c r="BW7" s="200">
        <f>602.9+32.4</f>
        <v>635.29999999999995</v>
      </c>
      <c r="BX7" s="201">
        <f>604.1+37.2</f>
        <v>641.30000000000007</v>
      </c>
      <c r="BZ7" s="200">
        <v>614.5</v>
      </c>
      <c r="CA7" s="201"/>
      <c r="CB7" s="200"/>
      <c r="CC7" s="201"/>
    </row>
    <row r="8" spans="1:81" s="98" customFormat="1" x14ac:dyDescent="0.2">
      <c r="A8" s="98" t="s">
        <v>60</v>
      </c>
      <c r="B8" s="99"/>
      <c r="C8" s="203">
        <v>54.228187919463089</v>
      </c>
      <c r="D8" s="204">
        <v>52.75167785234899</v>
      </c>
      <c r="E8" s="203">
        <v>50.604026845637584</v>
      </c>
      <c r="F8" s="204">
        <v>53.020134228187921</v>
      </c>
      <c r="G8" s="205"/>
      <c r="H8" s="203">
        <v>55.302013422818789</v>
      </c>
      <c r="I8" s="204">
        <v>56.510067114093957</v>
      </c>
      <c r="J8" s="203">
        <v>54.899328859060404</v>
      </c>
      <c r="K8" s="204">
        <v>74.630872483221481</v>
      </c>
      <c r="L8" s="205"/>
      <c r="M8" s="203">
        <v>73.422818791946312</v>
      </c>
      <c r="N8" s="204">
        <v>74.765100671140942</v>
      </c>
      <c r="O8" s="203">
        <v>81.208053691275168</v>
      </c>
      <c r="P8" s="204">
        <v>72.617449664429529</v>
      </c>
      <c r="Q8" s="205"/>
      <c r="R8" s="203">
        <v>77.449664429530202</v>
      </c>
      <c r="S8" s="204">
        <v>89.798657718120808</v>
      </c>
      <c r="T8" s="203">
        <v>96.510067114093957</v>
      </c>
      <c r="U8" s="204">
        <v>97.718120805369125</v>
      </c>
      <c r="V8" s="205"/>
      <c r="W8" s="203">
        <v>102.95302013422818</v>
      </c>
      <c r="X8" s="204">
        <v>108.45637583892618</v>
      </c>
      <c r="Y8" s="203">
        <v>113.15436241610738</v>
      </c>
      <c r="Z8" s="204">
        <v>118.65771812080537</v>
      </c>
      <c r="AA8" s="203"/>
      <c r="AB8" s="203">
        <v>120.93959731543625</v>
      </c>
      <c r="AC8" s="204">
        <v>114.496644295302</v>
      </c>
      <c r="AD8" s="203">
        <v>112.48322147651007</v>
      </c>
      <c r="AE8" s="204">
        <v>130.46979865771812</v>
      </c>
      <c r="AF8" s="203"/>
      <c r="AG8" s="203">
        <v>131.6778523489933</v>
      </c>
      <c r="AH8" s="204">
        <v>133.02013422818791</v>
      </c>
      <c r="AI8" s="203">
        <v>143.62416107382549</v>
      </c>
      <c r="AJ8" s="204">
        <v>170.46979865771812</v>
      </c>
      <c r="AK8" s="203"/>
      <c r="AL8" s="203">
        <v>89.127516778523486</v>
      </c>
      <c r="AM8" s="204">
        <v>90.469798657718115</v>
      </c>
      <c r="AN8" s="203">
        <v>87.785234899328856</v>
      </c>
      <c r="AO8" s="204">
        <v>104.56375838926174</v>
      </c>
      <c r="AP8" s="203"/>
      <c r="AQ8" s="203">
        <v>107.38255033557047</v>
      </c>
      <c r="AR8" s="204">
        <v>103.89261744966443</v>
      </c>
      <c r="AS8" s="203">
        <v>96.107382550335572</v>
      </c>
      <c r="AT8" s="204">
        <v>103.22147651006711</v>
      </c>
      <c r="AU8" s="203"/>
      <c r="AV8" s="203">
        <v>90.469798657718115</v>
      </c>
      <c r="AW8" s="204">
        <v>102.14765100671141</v>
      </c>
      <c r="AX8" s="203">
        <v>107.38255033557047</v>
      </c>
      <c r="AY8" s="204">
        <v>101.87919463087248</v>
      </c>
      <c r="AZ8" s="203"/>
      <c r="BA8" s="203">
        <v>95.302013422818789</v>
      </c>
      <c r="BB8" s="204">
        <v>85.637583892617442</v>
      </c>
      <c r="BC8" s="203">
        <v>89.664429530201346</v>
      </c>
      <c r="BD8" s="204">
        <v>86.6</v>
      </c>
      <c r="BE8" s="203"/>
      <c r="BF8" s="203">
        <v>84.6</v>
      </c>
      <c r="BG8" s="204">
        <v>85.8</v>
      </c>
      <c r="BH8" s="203">
        <v>84.5</v>
      </c>
      <c r="BI8" s="204">
        <v>36</v>
      </c>
      <c r="BJ8" s="203"/>
      <c r="BK8" s="203">
        <v>43.1</v>
      </c>
      <c r="BL8" s="204">
        <v>49.6</v>
      </c>
      <c r="BM8" s="203">
        <v>52.1</v>
      </c>
      <c r="BN8" s="204">
        <v>51.9</v>
      </c>
      <c r="BO8" s="203"/>
      <c r="BP8" s="203">
        <v>56.3</v>
      </c>
      <c r="BQ8" s="204">
        <v>57.8</v>
      </c>
      <c r="BR8" s="203">
        <v>64.8</v>
      </c>
      <c r="BS8" s="204">
        <v>29.7</v>
      </c>
      <c r="BT8" s="203"/>
      <c r="BU8" s="203">
        <v>37.1</v>
      </c>
      <c r="BV8" s="204">
        <v>43.3</v>
      </c>
      <c r="BW8" s="203">
        <v>37.9</v>
      </c>
      <c r="BX8" s="204">
        <v>51.7</v>
      </c>
      <c r="BZ8" s="203">
        <f>2+52.8</f>
        <v>54.8</v>
      </c>
      <c r="CA8" s="204"/>
      <c r="CB8" s="203"/>
      <c r="CC8" s="204"/>
    </row>
    <row r="9" spans="1:81" s="100" customFormat="1" x14ac:dyDescent="0.2">
      <c r="A9" s="100" t="s">
        <v>61</v>
      </c>
      <c r="B9" s="101"/>
      <c r="C9" s="206">
        <f>SUM(C6:C8)</f>
        <v>292.48322147651004</v>
      </c>
      <c r="D9" s="207">
        <f>SUM(D6:D8)</f>
        <v>296.510067114094</v>
      </c>
      <c r="E9" s="206">
        <f>SUM(E6:E8)</f>
        <v>298.65771812080538</v>
      </c>
      <c r="F9" s="207">
        <f>SUM(F6:F8)</f>
        <v>296.77852348993287</v>
      </c>
      <c r="G9" s="208"/>
      <c r="H9" s="206">
        <f>SUM(H6:H8)</f>
        <v>304.16107382550331</v>
      </c>
      <c r="I9" s="207">
        <f>SUM(I6:I8)</f>
        <v>289.93288590604027</v>
      </c>
      <c r="J9" s="206">
        <f>SUM(J6:J8)</f>
        <v>291.40939597315435</v>
      </c>
      <c r="K9" s="207">
        <f>SUM(K6:K8)</f>
        <v>293.28859060402687</v>
      </c>
      <c r="L9" s="208"/>
      <c r="M9" s="206">
        <f>SUM(M6:M8)</f>
        <v>371.67785234899333</v>
      </c>
      <c r="N9" s="207">
        <f>SUM(N6:N8)</f>
        <v>390.60402684563758</v>
      </c>
      <c r="O9" s="206">
        <f>SUM(O6:O8)</f>
        <v>449.66442953020135</v>
      </c>
      <c r="P9" s="207">
        <f>SUM(P6:P8)</f>
        <v>461.20805369127515</v>
      </c>
      <c r="Q9" s="208"/>
      <c r="R9" s="206">
        <f>SUM(R6:R8)</f>
        <v>483.62416107382546</v>
      </c>
      <c r="S9" s="207">
        <f>SUM(S6:S8)</f>
        <v>527.3825503355705</v>
      </c>
      <c r="T9" s="206">
        <f>SUM(T6:T8)</f>
        <v>560.80536912751677</v>
      </c>
      <c r="U9" s="207">
        <f>SUM(U6:U8)</f>
        <v>580.13422818791946</v>
      </c>
      <c r="V9" s="208"/>
      <c r="W9" s="206">
        <f>SUM(W6:W8)</f>
        <v>605.90604026845631</v>
      </c>
      <c r="X9" s="207">
        <f>SUM(X6:X8)</f>
        <v>638.38926174496646</v>
      </c>
      <c r="Y9" s="206">
        <f>SUM(Y6:Y8)</f>
        <v>668.724832214765</v>
      </c>
      <c r="Z9" s="207">
        <f>SUM(Z6:Z8)</f>
        <v>694.22818791946304</v>
      </c>
      <c r="AA9" s="206"/>
      <c r="AB9" s="206">
        <f>SUM(AB6:AB8)</f>
        <v>743.22147651006708</v>
      </c>
      <c r="AC9" s="207">
        <f>SUM(AC6:AC8)</f>
        <v>767.24832214765092</v>
      </c>
      <c r="AD9" s="206">
        <f>SUM(AD6:AD8)</f>
        <v>762.28187919463085</v>
      </c>
      <c r="AE9" s="207">
        <f>SUM(AE6:AE8)</f>
        <v>800.53691275167785</v>
      </c>
      <c r="AF9" s="206"/>
      <c r="AG9" s="206">
        <f>SUM(AG6:AG8)</f>
        <v>807.24832214765104</v>
      </c>
      <c r="AH9" s="207">
        <f>SUM(AH6:AH8)</f>
        <v>814.09395973154358</v>
      </c>
      <c r="AI9" s="206">
        <f>SUM(AI6:AI8)</f>
        <v>841.87919463087246</v>
      </c>
      <c r="AJ9" s="207">
        <f>SUM(AJ6:AJ8)</f>
        <v>874.89932885906035</v>
      </c>
      <c r="AK9" s="206"/>
      <c r="AL9" s="206">
        <f>SUM(AL6:AL8)</f>
        <v>793.15436241610735</v>
      </c>
      <c r="AM9" s="207">
        <f>SUM(AM6:AM8)</f>
        <v>799.86577181208042</v>
      </c>
      <c r="AN9" s="206">
        <f>SUM(AN6:AN8)</f>
        <v>794.22818791946304</v>
      </c>
      <c r="AO9" s="207">
        <f>SUM(AO6:AO8)</f>
        <v>810.60402684563746</v>
      </c>
      <c r="AP9" s="206"/>
      <c r="AQ9" s="206">
        <f>SUM(AQ6:AQ8)</f>
        <v>814.09395973154358</v>
      </c>
      <c r="AR9" s="207">
        <f>SUM(AR6:AR8)</f>
        <v>802.28187919463085</v>
      </c>
      <c r="AS9" s="206">
        <f>SUM(AS6:AS8)</f>
        <v>792.48322147651015</v>
      </c>
      <c r="AT9" s="207">
        <f>SUM(AT6:AT8)</f>
        <v>793.02013422818789</v>
      </c>
      <c r="AU9" s="206"/>
      <c r="AV9" s="206">
        <f>SUM(AV6:AV8)</f>
        <v>775.97315436241604</v>
      </c>
      <c r="AW9" s="207">
        <f>SUM(AW6:AW8)</f>
        <v>785.10067114093954</v>
      </c>
      <c r="AX9" s="206">
        <f>SUM(AX6:AX8)</f>
        <v>806.30872483221481</v>
      </c>
      <c r="AY9" s="207">
        <f>SUM(AY6:AY8)</f>
        <v>801.20805369127515</v>
      </c>
      <c r="AZ9" s="206"/>
      <c r="BA9" s="206">
        <f>SUM(BA6:BA8)</f>
        <v>817.18120805369131</v>
      </c>
      <c r="BB9" s="207">
        <f>SUM(BB6:BB8)</f>
        <v>775.83892617449646</v>
      </c>
      <c r="BC9" s="209">
        <f>SUM(BC6:BC8)</f>
        <v>771.14093959731542</v>
      </c>
      <c r="BD9" s="207">
        <f>SUM(BD6:BD8)</f>
        <v>787</v>
      </c>
      <c r="BE9" s="206"/>
      <c r="BF9" s="206">
        <f>SUM(BF6:BF8)</f>
        <v>819.30000000000007</v>
      </c>
      <c r="BG9" s="207">
        <f>SUM(BG6:BG8)</f>
        <v>818.59999999999991</v>
      </c>
      <c r="BH9" s="206">
        <f>SUM(BH6:BH8)</f>
        <v>785</v>
      </c>
      <c r="BI9" s="207">
        <f>SUM(BI6:BI8)</f>
        <v>382.3</v>
      </c>
      <c r="BJ9" s="206"/>
      <c r="BK9" s="206">
        <f>SUM(BK6:BK8)</f>
        <v>1247</v>
      </c>
      <c r="BL9" s="207">
        <f>SUM(BL6:BL8)</f>
        <v>1344.5</v>
      </c>
      <c r="BM9" s="206">
        <f>SUM(BM6:BM8)</f>
        <v>1355.8</v>
      </c>
      <c r="BN9" s="207">
        <f>SUM(BN6:BN8)</f>
        <v>1348.2</v>
      </c>
      <c r="BO9" s="206"/>
      <c r="BP9" s="206">
        <f>SUM(BP6:BP8)</f>
        <v>1306.1000000000001</v>
      </c>
      <c r="BQ9" s="207">
        <f>SUM(BQ6:BQ8)</f>
        <v>1285.8999999999999</v>
      </c>
      <c r="BR9" s="206">
        <f>SUM(BR6:BR8)</f>
        <v>1294.2</v>
      </c>
      <c r="BS9" s="207">
        <f>SUM(BS6:BS8)</f>
        <v>1264.1000000000001</v>
      </c>
      <c r="BT9" s="206"/>
      <c r="BU9" s="206">
        <f>SUM(BU6:BU8)</f>
        <v>1282</v>
      </c>
      <c r="BV9" s="207">
        <f>SUM(BV6:BV8)</f>
        <v>1275.1999999999998</v>
      </c>
      <c r="BW9" s="206">
        <f>SUM(BW6:BW8)</f>
        <v>1254.3000000000002</v>
      </c>
      <c r="BX9" s="207">
        <f>SUM(BX6:BX8)</f>
        <v>1287.0000000000002</v>
      </c>
      <c r="BZ9" s="206">
        <f>SUM(BZ6:BZ8)</f>
        <v>1240.5999999999999</v>
      </c>
      <c r="CA9" s="207"/>
      <c r="CB9" s="206"/>
      <c r="CC9" s="207"/>
    </row>
    <row r="10" spans="1:81" x14ac:dyDescent="0.2">
      <c r="C10" s="200"/>
      <c r="D10" s="201"/>
      <c r="E10" s="200"/>
      <c r="F10" s="201"/>
      <c r="G10" s="202"/>
      <c r="H10" s="200"/>
      <c r="I10" s="201"/>
      <c r="J10" s="200"/>
      <c r="K10" s="201"/>
      <c r="L10" s="202"/>
      <c r="M10" s="200"/>
      <c r="N10" s="201"/>
      <c r="O10" s="200"/>
      <c r="P10" s="201"/>
      <c r="Q10" s="202"/>
      <c r="R10" s="200"/>
      <c r="S10" s="201"/>
      <c r="T10" s="200"/>
      <c r="U10" s="201"/>
      <c r="V10" s="202"/>
      <c r="W10" s="200"/>
      <c r="X10" s="201"/>
      <c r="Y10" s="200"/>
      <c r="Z10" s="201"/>
      <c r="AA10" s="200"/>
      <c r="AB10" s="200"/>
      <c r="AC10" s="201"/>
      <c r="AD10" s="200"/>
      <c r="AE10" s="201"/>
      <c r="AF10" s="200"/>
      <c r="AG10" s="200"/>
      <c r="AH10" s="201"/>
      <c r="AI10" s="200"/>
      <c r="AJ10" s="201"/>
      <c r="AK10" s="200"/>
      <c r="AL10" s="200"/>
      <c r="AM10" s="201"/>
      <c r="AN10" s="200"/>
      <c r="AO10" s="201"/>
      <c r="AP10" s="200"/>
      <c r="AQ10" s="200"/>
      <c r="AR10" s="201"/>
      <c r="AS10" s="200"/>
      <c r="AT10" s="201"/>
      <c r="AU10" s="200"/>
      <c r="AV10" s="200"/>
      <c r="AW10" s="201"/>
      <c r="AX10" s="200"/>
      <c r="AY10" s="201"/>
      <c r="AZ10" s="200"/>
      <c r="BA10" s="200"/>
      <c r="BB10" s="201"/>
      <c r="BC10" s="200"/>
      <c r="BD10" s="201"/>
      <c r="BE10" s="200"/>
      <c r="BF10" s="200"/>
      <c r="BG10" s="201"/>
      <c r="BH10" s="200"/>
      <c r="BI10" s="201"/>
      <c r="BJ10" s="200"/>
      <c r="BK10" s="200"/>
      <c r="BL10" s="201"/>
      <c r="BM10" s="200"/>
      <c r="BN10" s="201"/>
      <c r="BO10" s="200"/>
      <c r="BP10" s="200"/>
      <c r="BQ10" s="201"/>
      <c r="BR10" s="200"/>
      <c r="BS10" s="201"/>
      <c r="BT10" s="200"/>
      <c r="BU10" s="200"/>
      <c r="BV10" s="201"/>
      <c r="BW10" s="200"/>
      <c r="BX10" s="201"/>
      <c r="BZ10" s="200"/>
      <c r="CA10" s="201"/>
      <c r="CB10" s="200"/>
      <c r="CC10" s="201"/>
    </row>
    <row r="11" spans="1:81" x14ac:dyDescent="0.2">
      <c r="A11" s="15" t="s">
        <v>62</v>
      </c>
      <c r="C11" s="200">
        <v>201.74496644295303</v>
      </c>
      <c r="D11" s="201">
        <v>203.35570469798657</v>
      </c>
      <c r="E11" s="200">
        <v>208.99328859060401</v>
      </c>
      <c r="F11" s="201">
        <v>217.98657718120805</v>
      </c>
      <c r="G11" s="202"/>
      <c r="H11" s="200">
        <v>240</v>
      </c>
      <c r="I11" s="201">
        <v>256.24161073825502</v>
      </c>
      <c r="J11" s="200">
        <v>273.28859060402687</v>
      </c>
      <c r="K11" s="201">
        <v>254.22818791946307</v>
      </c>
      <c r="L11" s="202"/>
      <c r="M11" s="200">
        <v>298.255033557047</v>
      </c>
      <c r="N11" s="201">
        <v>315.70469798657717</v>
      </c>
      <c r="O11" s="200">
        <v>342.68456375838923</v>
      </c>
      <c r="P11" s="201">
        <v>306.97986577181206</v>
      </c>
      <c r="Q11" s="202"/>
      <c r="R11" s="200">
        <v>354.63087248322148</v>
      </c>
      <c r="S11" s="201">
        <v>361.47651006711408</v>
      </c>
      <c r="T11" s="200">
        <v>365.23489932885906</v>
      </c>
      <c r="U11" s="201">
        <v>299.06040268456377</v>
      </c>
      <c r="V11" s="202"/>
      <c r="W11" s="200">
        <v>311.40939597315435</v>
      </c>
      <c r="X11" s="201">
        <v>288.59060402684565</v>
      </c>
      <c r="Y11" s="200">
        <v>282.95302013422815</v>
      </c>
      <c r="Z11" s="201">
        <v>294.63087248322148</v>
      </c>
      <c r="AA11" s="200"/>
      <c r="AB11" s="200">
        <v>341.61073825503354</v>
      </c>
      <c r="AC11" s="201">
        <v>383.22147651006708</v>
      </c>
      <c r="AD11" s="200">
        <v>388.85906040268458</v>
      </c>
      <c r="AE11" s="201">
        <v>381.20805369127515</v>
      </c>
      <c r="AF11" s="200"/>
      <c r="AG11" s="200">
        <v>457.7181208053691</v>
      </c>
      <c r="AH11" s="201">
        <v>433.82550335570471</v>
      </c>
      <c r="AI11" s="200">
        <v>447.38255033557044</v>
      </c>
      <c r="AJ11" s="201">
        <v>387.78523489932883</v>
      </c>
      <c r="AK11" s="200"/>
      <c r="AL11" s="200">
        <v>446.30872483221475</v>
      </c>
      <c r="AM11" s="201">
        <v>438.79194630872485</v>
      </c>
      <c r="AN11" s="200">
        <v>439.32885906040269</v>
      </c>
      <c r="AO11" s="201">
        <v>368.32214765100673</v>
      </c>
      <c r="AP11" s="200"/>
      <c r="AQ11" s="200">
        <v>455.9731543624161</v>
      </c>
      <c r="AR11" s="201">
        <v>405.50335570469798</v>
      </c>
      <c r="AS11" s="200">
        <v>399.06040268456377</v>
      </c>
      <c r="AT11" s="201">
        <v>356.6442953020134</v>
      </c>
      <c r="AU11" s="200"/>
      <c r="AV11" s="200">
        <v>382.28187919463085</v>
      </c>
      <c r="AW11" s="201">
        <v>371.54362416107381</v>
      </c>
      <c r="AX11" s="200">
        <v>388.05369127516775</v>
      </c>
      <c r="AY11" s="201">
        <v>350.60402684563758</v>
      </c>
      <c r="AZ11" s="200"/>
      <c r="BA11" s="200">
        <v>392.21476510067112</v>
      </c>
      <c r="BB11" s="201">
        <v>405.50335570469798</v>
      </c>
      <c r="BC11" s="200">
        <v>380</v>
      </c>
      <c r="BD11" s="201">
        <v>342.5</v>
      </c>
      <c r="BE11" s="200"/>
      <c r="BF11" s="200">
        <v>370.6</v>
      </c>
      <c r="BG11" s="201">
        <v>393.4</v>
      </c>
      <c r="BH11" s="200">
        <v>349.8</v>
      </c>
      <c r="BI11" s="201">
        <v>142.1</v>
      </c>
      <c r="BJ11" s="200"/>
      <c r="BK11" s="200">
        <v>216.6</v>
      </c>
      <c r="BL11" s="201">
        <v>225.9</v>
      </c>
      <c r="BM11" s="200">
        <v>219.6</v>
      </c>
      <c r="BN11" s="201">
        <v>226.1</v>
      </c>
      <c r="BO11" s="200"/>
      <c r="BP11" s="200">
        <v>247.4</v>
      </c>
      <c r="BQ11" s="201">
        <v>245.7</v>
      </c>
      <c r="BR11" s="200">
        <v>237.2</v>
      </c>
      <c r="BS11" s="201">
        <v>219.8</v>
      </c>
      <c r="BT11" s="200"/>
      <c r="BU11" s="200">
        <v>234.9</v>
      </c>
      <c r="BV11" s="201">
        <v>229.8</v>
      </c>
      <c r="BW11" s="200">
        <v>232</v>
      </c>
      <c r="BX11" s="201">
        <v>229.7</v>
      </c>
      <c r="BZ11" s="200">
        <v>233.9</v>
      </c>
      <c r="CA11" s="201"/>
      <c r="CB11" s="200"/>
      <c r="CC11" s="201"/>
    </row>
    <row r="12" spans="1:81" x14ac:dyDescent="0.2">
      <c r="A12" s="15" t="s">
        <v>20</v>
      </c>
      <c r="C12" s="200">
        <v>248.3221476510067</v>
      </c>
      <c r="D12" s="201">
        <v>271.67785234899327</v>
      </c>
      <c r="E12" s="200">
        <v>276.91275167785233</v>
      </c>
      <c r="F12" s="201">
        <v>273.1543624161074</v>
      </c>
      <c r="G12" s="202"/>
      <c r="H12" s="200">
        <v>297.18120805369125</v>
      </c>
      <c r="I12" s="201">
        <v>319.06040268456377</v>
      </c>
      <c r="J12" s="200">
        <v>317.18120805369125</v>
      </c>
      <c r="K12" s="201">
        <v>295.9731543624161</v>
      </c>
      <c r="L12" s="202"/>
      <c r="M12" s="200">
        <v>347.24832214765098</v>
      </c>
      <c r="N12" s="201">
        <v>403.89261744966444</v>
      </c>
      <c r="O12" s="200">
        <v>390.33557046979865</v>
      </c>
      <c r="P12" s="201">
        <v>378.38926174496646</v>
      </c>
      <c r="Q12" s="202"/>
      <c r="R12" s="200">
        <v>395.70469798657717</v>
      </c>
      <c r="S12" s="201">
        <v>425.7718120805369</v>
      </c>
      <c r="T12" s="200">
        <v>403.22147651006708</v>
      </c>
      <c r="U12" s="201">
        <v>375.57046979865771</v>
      </c>
      <c r="V12" s="202"/>
      <c r="W12" s="200">
        <v>361.34228187919462</v>
      </c>
      <c r="X12" s="201">
        <v>371.54362416107381</v>
      </c>
      <c r="Y12" s="200">
        <v>374.36241610738256</v>
      </c>
      <c r="Z12" s="201">
        <v>335.9731543624161</v>
      </c>
      <c r="AA12" s="200"/>
      <c r="AB12" s="200">
        <v>385.63758389261744</v>
      </c>
      <c r="AC12" s="201">
        <v>445.7718120805369</v>
      </c>
      <c r="AD12" s="200">
        <v>478.12080536912748</v>
      </c>
      <c r="AE12" s="201">
        <v>470.46979865771812</v>
      </c>
      <c r="AF12" s="200"/>
      <c r="AG12" s="200">
        <v>534.89932885906035</v>
      </c>
      <c r="AH12" s="201">
        <v>534.76510067114089</v>
      </c>
      <c r="AI12" s="200">
        <v>509.53020134228188</v>
      </c>
      <c r="AJ12" s="201">
        <v>504.83221476510067</v>
      </c>
      <c r="AK12" s="200"/>
      <c r="AL12" s="200">
        <v>490.06711409395973</v>
      </c>
      <c r="AM12" s="201">
        <v>525.36912751677846</v>
      </c>
      <c r="AN12" s="200">
        <v>501.744966442953</v>
      </c>
      <c r="AO12" s="201">
        <v>508.72483221476512</v>
      </c>
      <c r="AP12" s="200"/>
      <c r="AQ12" s="200">
        <v>512.48322147651004</v>
      </c>
      <c r="AR12" s="201">
        <v>531.00671140939596</v>
      </c>
      <c r="AS12" s="200">
        <v>577.04697986577185</v>
      </c>
      <c r="AT12" s="201">
        <v>544.16107382550331</v>
      </c>
      <c r="AU12" s="200"/>
      <c r="AV12" s="200">
        <v>550.60402684563758</v>
      </c>
      <c r="AW12" s="201">
        <v>555.70469798657712</v>
      </c>
      <c r="AX12" s="200">
        <v>567.24832214765104</v>
      </c>
      <c r="AY12" s="201">
        <v>454.09395973154363</v>
      </c>
      <c r="AZ12" s="200"/>
      <c r="BA12" s="200">
        <v>584.96644295302008</v>
      </c>
      <c r="BB12" s="201">
        <v>615.30201342281873</v>
      </c>
      <c r="BC12" s="200">
        <v>546.97986577181211</v>
      </c>
      <c r="BD12" s="201">
        <f>490.7+5.1</f>
        <v>495.8</v>
      </c>
      <c r="BE12" s="200"/>
      <c r="BF12" s="200">
        <v>501.5</v>
      </c>
      <c r="BG12" s="201">
        <v>544.1</v>
      </c>
      <c r="BH12" s="200">
        <v>459.4</v>
      </c>
      <c r="BI12" s="201">
        <v>209.2</v>
      </c>
      <c r="BJ12" s="200"/>
      <c r="BK12" s="200">
        <v>299.60000000000002</v>
      </c>
      <c r="BL12" s="201">
        <v>356.5</v>
      </c>
      <c r="BM12" s="200">
        <v>332.2</v>
      </c>
      <c r="BN12" s="201">
        <f>267.3+16.2+2.1</f>
        <v>285.60000000000002</v>
      </c>
      <c r="BO12" s="200"/>
      <c r="BP12" s="200">
        <f>339.6+0.2</f>
        <v>339.8</v>
      </c>
      <c r="BQ12" s="201">
        <f>383+0.1</f>
        <v>383.1</v>
      </c>
      <c r="BR12" s="200">
        <f>396.6+0.8</f>
        <v>397.40000000000003</v>
      </c>
      <c r="BS12" s="201">
        <f>339+8+0.1</f>
        <v>347.1</v>
      </c>
      <c r="BT12" s="200"/>
      <c r="BU12" s="200">
        <v>343.5</v>
      </c>
      <c r="BV12" s="201">
        <f>381.5+0.4</f>
        <v>381.9</v>
      </c>
      <c r="BW12" s="200">
        <f>394+0.1</f>
        <v>394.1</v>
      </c>
      <c r="BX12" s="201">
        <f>224+36.7+5+0.1</f>
        <v>265.8</v>
      </c>
      <c r="BZ12" s="200">
        <f>317.8+0.2</f>
        <v>318</v>
      </c>
      <c r="CA12" s="201"/>
      <c r="CB12" s="200"/>
      <c r="CC12" s="201"/>
    </row>
    <row r="13" spans="1:81" x14ac:dyDescent="0.2">
      <c r="A13" s="15" t="s">
        <v>21</v>
      </c>
      <c r="C13" s="200">
        <v>5.9060402684563753</v>
      </c>
      <c r="D13" s="201">
        <v>4.1610738255033555</v>
      </c>
      <c r="E13" s="200">
        <v>3.8926174496644292</v>
      </c>
      <c r="F13" s="201">
        <v>3.7583892617449663</v>
      </c>
      <c r="G13" s="202"/>
      <c r="H13" s="200">
        <v>3.4899328859060401</v>
      </c>
      <c r="I13" s="201">
        <v>1.8791946308724832</v>
      </c>
      <c r="J13" s="200">
        <v>1.8791946308724832</v>
      </c>
      <c r="K13" s="201">
        <v>6.5771812080536911</v>
      </c>
      <c r="L13" s="202"/>
      <c r="M13" s="200">
        <v>4.9664429530201337</v>
      </c>
      <c r="N13" s="201">
        <v>4.0268456375838921</v>
      </c>
      <c r="O13" s="200">
        <v>3.2214765100671139</v>
      </c>
      <c r="P13" s="201">
        <v>2.4161073825503356</v>
      </c>
      <c r="Q13" s="202"/>
      <c r="R13" s="200">
        <v>1.7449664429530201</v>
      </c>
      <c r="S13" s="201">
        <v>0</v>
      </c>
      <c r="T13" s="200">
        <v>0</v>
      </c>
      <c r="U13" s="201">
        <v>0</v>
      </c>
      <c r="V13" s="202"/>
      <c r="W13" s="200">
        <v>0</v>
      </c>
      <c r="X13" s="201">
        <v>0</v>
      </c>
      <c r="Y13" s="200">
        <v>0</v>
      </c>
      <c r="Z13" s="201">
        <v>0</v>
      </c>
      <c r="AA13" s="200"/>
      <c r="AB13" s="200">
        <v>0</v>
      </c>
      <c r="AC13" s="201">
        <v>0</v>
      </c>
      <c r="AD13" s="200">
        <v>0</v>
      </c>
      <c r="AE13" s="201">
        <v>0</v>
      </c>
      <c r="AF13" s="200"/>
      <c r="AG13" s="200">
        <v>0</v>
      </c>
      <c r="AH13" s="201">
        <v>0</v>
      </c>
      <c r="AI13" s="200">
        <v>0</v>
      </c>
      <c r="AJ13" s="201">
        <v>0</v>
      </c>
      <c r="AK13" s="200"/>
      <c r="AL13" s="200">
        <v>0</v>
      </c>
      <c r="AM13" s="201">
        <v>0</v>
      </c>
      <c r="AN13" s="200">
        <v>0</v>
      </c>
      <c r="AO13" s="201">
        <v>0</v>
      </c>
      <c r="AP13" s="200"/>
      <c r="AQ13" s="200"/>
      <c r="AR13" s="201"/>
      <c r="AS13" s="200"/>
      <c r="AT13" s="201"/>
      <c r="AU13" s="200"/>
      <c r="AV13" s="200"/>
      <c r="AW13" s="201"/>
      <c r="AX13" s="200"/>
      <c r="AY13" s="201"/>
      <c r="AZ13" s="200"/>
      <c r="BA13" s="200"/>
      <c r="BB13" s="201"/>
      <c r="BC13" s="200"/>
      <c r="BD13" s="201"/>
      <c r="BE13" s="200"/>
      <c r="BF13" s="200"/>
      <c r="BG13" s="201"/>
      <c r="BH13" s="200"/>
      <c r="BI13" s="201"/>
      <c r="BJ13" s="200"/>
      <c r="BK13" s="200"/>
      <c r="BL13" s="201"/>
      <c r="BM13" s="200"/>
      <c r="BN13" s="201"/>
      <c r="BO13" s="200"/>
      <c r="BP13" s="200"/>
      <c r="BQ13" s="201"/>
      <c r="BR13" s="200"/>
      <c r="BS13" s="201"/>
      <c r="BT13" s="200"/>
      <c r="BU13" s="200"/>
      <c r="BV13" s="201"/>
      <c r="BW13" s="200"/>
      <c r="BX13" s="201"/>
      <c r="BZ13" s="200"/>
      <c r="CA13" s="201"/>
      <c r="CB13" s="200"/>
      <c r="CC13" s="201"/>
    </row>
    <row r="14" spans="1:81" s="104" customFormat="1" x14ac:dyDescent="0.2">
      <c r="A14" s="104" t="s">
        <v>22</v>
      </c>
      <c r="B14" s="151"/>
      <c r="C14" s="210">
        <v>46.442953020134226</v>
      </c>
      <c r="D14" s="211">
        <v>33.825503355704697</v>
      </c>
      <c r="E14" s="210">
        <v>30.604026845637584</v>
      </c>
      <c r="F14" s="211">
        <v>37.449664429530202</v>
      </c>
      <c r="G14" s="212"/>
      <c r="H14" s="210">
        <v>21.879194630872483</v>
      </c>
      <c r="I14" s="211">
        <v>61.208053691275168</v>
      </c>
      <c r="J14" s="210">
        <v>41.073825503355707</v>
      </c>
      <c r="K14" s="211">
        <v>136.51006711409394</v>
      </c>
      <c r="L14" s="212"/>
      <c r="M14" s="210">
        <v>50.335570469798654</v>
      </c>
      <c r="N14" s="211">
        <v>38.523489932885909</v>
      </c>
      <c r="O14" s="210">
        <v>43.758389261744966</v>
      </c>
      <c r="P14" s="211">
        <v>72.348993288590606</v>
      </c>
      <c r="Q14" s="212"/>
      <c r="R14" s="210">
        <v>60.268456375838923</v>
      </c>
      <c r="S14" s="211">
        <v>58.65771812080537</v>
      </c>
      <c r="T14" s="210">
        <v>54.496644295302012</v>
      </c>
      <c r="U14" s="211">
        <v>78.791946308724832</v>
      </c>
      <c r="V14" s="212"/>
      <c r="W14" s="210">
        <v>28.053691275167786</v>
      </c>
      <c r="X14" s="211">
        <v>28.859060402684563</v>
      </c>
      <c r="Y14" s="210">
        <v>28.724832214765101</v>
      </c>
      <c r="Z14" s="211">
        <v>34.09395973154362</v>
      </c>
      <c r="AA14" s="210"/>
      <c r="AB14" s="210">
        <v>27.651006711409394</v>
      </c>
      <c r="AC14" s="211">
        <v>32.483221476510067</v>
      </c>
      <c r="AD14" s="210">
        <v>28.859060402684563</v>
      </c>
      <c r="AE14" s="211">
        <v>33.154362416107382</v>
      </c>
      <c r="AF14" s="210"/>
      <c r="AG14" s="210">
        <v>33.691275167785236</v>
      </c>
      <c r="AH14" s="211">
        <v>33.422818791946305</v>
      </c>
      <c r="AI14" s="210">
        <v>27.651006711409394</v>
      </c>
      <c r="AJ14" s="211">
        <v>36.375838926174495</v>
      </c>
      <c r="AK14" s="210"/>
      <c r="AL14" s="210">
        <v>42.281879194630875</v>
      </c>
      <c r="AM14" s="211">
        <v>32.617449664429529</v>
      </c>
      <c r="AN14" s="210">
        <v>37.583892617449663</v>
      </c>
      <c r="AO14" s="211">
        <v>48.724832214765101</v>
      </c>
      <c r="AP14" s="210"/>
      <c r="AQ14" s="210">
        <v>51.140939597315437</v>
      </c>
      <c r="AR14" s="211">
        <v>52.483221476510067</v>
      </c>
      <c r="AS14" s="210">
        <v>48.053691275167786</v>
      </c>
      <c r="AT14" s="211">
        <v>50.469798657718123</v>
      </c>
      <c r="AU14" s="210"/>
      <c r="AV14" s="210">
        <v>54.630872483221474</v>
      </c>
      <c r="AW14" s="211">
        <v>39.463087248322147</v>
      </c>
      <c r="AX14" s="210">
        <v>41.34228187919463</v>
      </c>
      <c r="AY14" s="211">
        <v>50.201342281879192</v>
      </c>
      <c r="AZ14" s="210"/>
      <c r="BA14" s="210">
        <v>57.04697986577181</v>
      </c>
      <c r="BB14" s="211">
        <v>64.026845637583889</v>
      </c>
      <c r="BC14" s="210">
        <v>37.718120805369125</v>
      </c>
      <c r="BD14" s="211">
        <v>58.3</v>
      </c>
      <c r="BE14" s="210"/>
      <c r="BF14" s="210">
        <v>45</v>
      </c>
      <c r="BG14" s="211">
        <v>31.1</v>
      </c>
      <c r="BH14" s="210">
        <v>22.8</v>
      </c>
      <c r="BI14" s="211">
        <v>127.8</v>
      </c>
      <c r="BJ14" s="210"/>
      <c r="BK14" s="210">
        <v>10.6</v>
      </c>
      <c r="BL14" s="211">
        <v>30.6</v>
      </c>
      <c r="BM14" s="210">
        <v>37.299999999999997</v>
      </c>
      <c r="BN14" s="211">
        <v>44.7</v>
      </c>
      <c r="BO14" s="210"/>
      <c r="BP14" s="210">
        <v>30</v>
      </c>
      <c r="BQ14" s="211">
        <v>11.7</v>
      </c>
      <c r="BR14" s="210">
        <v>9.1999999999999993</v>
      </c>
      <c r="BS14" s="211">
        <v>28.2</v>
      </c>
      <c r="BT14" s="210"/>
      <c r="BU14" s="210">
        <v>7.4</v>
      </c>
      <c r="BV14" s="211">
        <v>9</v>
      </c>
      <c r="BW14" s="210">
        <v>5.9</v>
      </c>
      <c r="BX14" s="211">
        <v>6.9</v>
      </c>
      <c r="BZ14" s="210">
        <v>3.3</v>
      </c>
      <c r="CA14" s="211"/>
      <c r="CB14" s="210"/>
      <c r="CC14" s="211"/>
    </row>
    <row r="15" spans="1:81" s="98" customFormat="1" x14ac:dyDescent="0.2">
      <c r="A15" s="98" t="s">
        <v>140</v>
      </c>
      <c r="B15" s="99"/>
      <c r="C15" s="203"/>
      <c r="D15" s="204"/>
      <c r="E15" s="203"/>
      <c r="F15" s="204"/>
      <c r="G15" s="205"/>
      <c r="H15" s="203"/>
      <c r="I15" s="204"/>
      <c r="J15" s="203"/>
      <c r="K15" s="204"/>
      <c r="L15" s="205"/>
      <c r="M15" s="203"/>
      <c r="N15" s="204"/>
      <c r="O15" s="203"/>
      <c r="P15" s="204"/>
      <c r="Q15" s="205"/>
      <c r="R15" s="203"/>
      <c r="S15" s="204"/>
      <c r="T15" s="203"/>
      <c r="U15" s="204"/>
      <c r="V15" s="205"/>
      <c r="W15" s="203"/>
      <c r="X15" s="204"/>
      <c r="Y15" s="203"/>
      <c r="Z15" s="204"/>
      <c r="AA15" s="203"/>
      <c r="AB15" s="203"/>
      <c r="AC15" s="204"/>
      <c r="AD15" s="203"/>
      <c r="AE15" s="204"/>
      <c r="AF15" s="203"/>
      <c r="AG15" s="203"/>
      <c r="AH15" s="204"/>
      <c r="AI15" s="203"/>
      <c r="AJ15" s="204"/>
      <c r="AK15" s="203"/>
      <c r="AL15" s="203"/>
      <c r="AM15" s="204"/>
      <c r="AN15" s="203"/>
      <c r="AO15" s="204"/>
      <c r="AP15" s="203"/>
      <c r="AQ15" s="203"/>
      <c r="AR15" s="204"/>
      <c r="AS15" s="203"/>
      <c r="AT15" s="204"/>
      <c r="AU15" s="203"/>
      <c r="AV15" s="203"/>
      <c r="AW15" s="204"/>
      <c r="AX15" s="203"/>
      <c r="AY15" s="204"/>
      <c r="AZ15" s="203"/>
      <c r="BA15" s="203"/>
      <c r="BB15" s="204"/>
      <c r="BC15" s="203"/>
      <c r="BD15" s="204"/>
      <c r="BE15" s="203"/>
      <c r="BF15" s="203"/>
      <c r="BG15" s="204"/>
      <c r="BH15" s="203">
        <v>111.6</v>
      </c>
      <c r="BI15" s="204">
        <f>52.7+833</f>
        <v>885.7</v>
      </c>
      <c r="BJ15" s="203"/>
      <c r="BK15" s="203">
        <f>51.5+857.1</f>
        <v>908.6</v>
      </c>
      <c r="BL15" s="204">
        <v>851.5</v>
      </c>
      <c r="BM15" s="203">
        <v>840.6</v>
      </c>
      <c r="BN15" s="204">
        <v>0</v>
      </c>
      <c r="BO15" s="203"/>
      <c r="BP15" s="203"/>
      <c r="BQ15" s="204"/>
      <c r="BR15" s="203"/>
      <c r="BS15" s="204"/>
      <c r="BT15" s="203"/>
      <c r="BU15" s="203"/>
      <c r="BV15" s="204"/>
      <c r="BW15" s="203"/>
      <c r="BX15" s="204"/>
      <c r="BZ15" s="203"/>
      <c r="CA15" s="204"/>
      <c r="CB15" s="203"/>
      <c r="CC15" s="204"/>
    </row>
    <row r="16" spans="1:81" s="102" customFormat="1" x14ac:dyDescent="0.2">
      <c r="A16" s="102" t="s">
        <v>23</v>
      </c>
      <c r="B16" s="103"/>
      <c r="C16" s="213">
        <f>SUM(C11:C14)</f>
        <v>502.41610738255031</v>
      </c>
      <c r="D16" s="214">
        <f>SUM(D11:D14)</f>
        <v>513.02013422818789</v>
      </c>
      <c r="E16" s="213">
        <f>SUM(E11:E14)</f>
        <v>520.40268456375838</v>
      </c>
      <c r="F16" s="214">
        <f>SUM(F11:F14)</f>
        <v>532.34899328859058</v>
      </c>
      <c r="G16" s="215"/>
      <c r="H16" s="213">
        <f>SUM(H11:H14)</f>
        <v>562.55033557046977</v>
      </c>
      <c r="I16" s="214">
        <f>SUM(I11:I14)</f>
        <v>638.38926174496646</v>
      </c>
      <c r="J16" s="213">
        <f>SUM(J11:J14)</f>
        <v>633.42281879194627</v>
      </c>
      <c r="K16" s="214">
        <f>SUM(K11:K14)</f>
        <v>693.28859060402692</v>
      </c>
      <c r="L16" s="215"/>
      <c r="M16" s="213">
        <f>SUM(M11:M14)</f>
        <v>700.80536912751666</v>
      </c>
      <c r="N16" s="214">
        <f>SUM(N11:N14)</f>
        <v>762.14765100671138</v>
      </c>
      <c r="O16" s="213">
        <f>SUM(O11:O14)</f>
        <v>779.99999999999989</v>
      </c>
      <c r="P16" s="214">
        <f>SUM(P11:P14)</f>
        <v>760.13422818791935</v>
      </c>
      <c r="Q16" s="215"/>
      <c r="R16" s="213">
        <f>SUM(R11:R14)</f>
        <v>812.34899328859058</v>
      </c>
      <c r="S16" s="214">
        <f>SUM(S11:S14)</f>
        <v>845.90604026845631</v>
      </c>
      <c r="T16" s="213">
        <f>SUM(T11:T14)</f>
        <v>822.95302013422804</v>
      </c>
      <c r="U16" s="214">
        <f>SUM(U11:U14)</f>
        <v>753.42281879194638</v>
      </c>
      <c r="V16" s="215"/>
      <c r="W16" s="213">
        <f>SUM(W11:W14)</f>
        <v>700.80536912751677</v>
      </c>
      <c r="X16" s="214">
        <f>SUM(X11:X14)</f>
        <v>688.99328859060404</v>
      </c>
      <c r="Y16" s="213">
        <f>SUM(Y11:Y14)</f>
        <v>686.04026845637588</v>
      </c>
      <c r="Z16" s="214">
        <f>SUM(Z11:Z14)</f>
        <v>664.69798657718115</v>
      </c>
      <c r="AA16" s="213"/>
      <c r="AB16" s="213">
        <f>SUM(AB11:AB14)</f>
        <v>754.89932885906035</v>
      </c>
      <c r="AC16" s="214">
        <f>SUM(AC11:AC14)</f>
        <v>861.47651006711396</v>
      </c>
      <c r="AD16" s="213">
        <f>SUM(AD11:AD14)</f>
        <v>895.83892617449658</v>
      </c>
      <c r="AE16" s="214">
        <f>SUM(AE11:AE14)</f>
        <v>884.83221476510062</v>
      </c>
      <c r="AF16" s="213"/>
      <c r="AG16" s="213">
        <f>SUM(AG11:AG14)</f>
        <v>1026.3087248322147</v>
      </c>
      <c r="AH16" s="214">
        <f>SUM(AH11:AH14)</f>
        <v>1002.0134228187918</v>
      </c>
      <c r="AI16" s="213">
        <f>SUM(AI11:AI14)</f>
        <v>984.56375838926181</v>
      </c>
      <c r="AJ16" s="214">
        <f>SUM(AJ11:AJ14)</f>
        <v>928.99328859060404</v>
      </c>
      <c r="AK16" s="213"/>
      <c r="AL16" s="213">
        <f>SUM(AL11:AL14)</f>
        <v>978.65771812080538</v>
      </c>
      <c r="AM16" s="214">
        <f>SUM(AM11:AM14)</f>
        <v>996.77852348993281</v>
      </c>
      <c r="AN16" s="213">
        <f>SUM(AN11:AN14)</f>
        <v>978.65771812080538</v>
      </c>
      <c r="AO16" s="214">
        <f>SUM(AO11:AO14)</f>
        <v>925.77181208053696</v>
      </c>
      <c r="AP16" s="213"/>
      <c r="AQ16" s="213">
        <f>SUM(AQ11:AQ14)</f>
        <v>1019.5973154362415</v>
      </c>
      <c r="AR16" s="214">
        <f>SUM(AR11:AR14)</f>
        <v>988.99328859060404</v>
      </c>
      <c r="AS16" s="213">
        <f>SUM(AS11:AS14)</f>
        <v>1024.1610738255033</v>
      </c>
      <c r="AT16" s="214">
        <f>SUM(AT11:AT14)</f>
        <v>951.27516778523488</v>
      </c>
      <c r="AU16" s="213"/>
      <c r="AV16" s="213">
        <f>SUM(AV11:AV14)</f>
        <v>987.51677852348985</v>
      </c>
      <c r="AW16" s="214">
        <f>SUM(AW11:AW14)</f>
        <v>966.71140939597308</v>
      </c>
      <c r="AX16" s="213">
        <f>SUM(AX11:AX14)</f>
        <v>996.64429530201346</v>
      </c>
      <c r="AY16" s="214">
        <f>SUM(AY11:AY14)</f>
        <v>854.89932885906035</v>
      </c>
      <c r="AZ16" s="213"/>
      <c r="BA16" s="213">
        <f>SUM(BA11:BA14)</f>
        <v>1034.2281879194629</v>
      </c>
      <c r="BB16" s="214">
        <f>SUM(BB11:BB14)</f>
        <v>1084.8322147651006</v>
      </c>
      <c r="BC16" s="213">
        <f>SUM(BC11:BC14)</f>
        <v>964.69798657718127</v>
      </c>
      <c r="BD16" s="214">
        <f>SUM(BD11:BD14)</f>
        <v>896.59999999999991</v>
      </c>
      <c r="BE16" s="213"/>
      <c r="BF16" s="213">
        <f>SUM(BF11:BF15)</f>
        <v>917.1</v>
      </c>
      <c r="BG16" s="214">
        <f>SUM(BG11:BG15)</f>
        <v>968.6</v>
      </c>
      <c r="BH16" s="213">
        <f>SUM(BH11:BH15)</f>
        <v>943.6</v>
      </c>
      <c r="BI16" s="214">
        <f>SUM(BI11:BI15)</f>
        <v>1364.8</v>
      </c>
      <c r="BJ16" s="213"/>
      <c r="BK16" s="213">
        <f>SUM(BK11:BK15)</f>
        <v>1435.4</v>
      </c>
      <c r="BL16" s="214">
        <f>SUM(BL11:BL15)</f>
        <v>1464.5</v>
      </c>
      <c r="BM16" s="213">
        <f>SUM(BM11:BM15)</f>
        <v>1429.6999999999998</v>
      </c>
      <c r="BN16" s="214">
        <f>SUM(BN11:BN15)</f>
        <v>556.40000000000009</v>
      </c>
      <c r="BO16" s="213"/>
      <c r="BP16" s="213">
        <f>SUM(BP11:BP15)</f>
        <v>617.20000000000005</v>
      </c>
      <c r="BQ16" s="214">
        <f>SUM(BQ11:BQ15)</f>
        <v>640.5</v>
      </c>
      <c r="BR16" s="213">
        <f>SUM(BR11:BR15)</f>
        <v>643.80000000000007</v>
      </c>
      <c r="BS16" s="214">
        <f>SUM(BS11:BS15)</f>
        <v>595.10000000000014</v>
      </c>
      <c r="BT16" s="213"/>
      <c r="BU16" s="213">
        <f>SUM(BU11:BU15)</f>
        <v>585.79999999999995</v>
      </c>
      <c r="BV16" s="214">
        <f>SUM(BV11:BV15)</f>
        <v>620.70000000000005</v>
      </c>
      <c r="BW16" s="213">
        <f>SUM(BW11:BW15)</f>
        <v>632</v>
      </c>
      <c r="BX16" s="214">
        <f>SUM(BX11:BX15)</f>
        <v>502.4</v>
      </c>
      <c r="BZ16" s="213">
        <f>SUM(BZ11:BZ15)</f>
        <v>555.19999999999993</v>
      </c>
      <c r="CA16" s="214"/>
      <c r="CB16" s="213"/>
      <c r="CC16" s="214"/>
    </row>
    <row r="17" spans="1:81" s="98" customFormat="1" x14ac:dyDescent="0.2">
      <c r="B17" s="99"/>
      <c r="C17" s="203"/>
      <c r="D17" s="204"/>
      <c r="E17" s="203"/>
      <c r="F17" s="204"/>
      <c r="G17" s="205"/>
      <c r="H17" s="203"/>
      <c r="I17" s="204"/>
      <c r="J17" s="203"/>
      <c r="K17" s="204"/>
      <c r="L17" s="205"/>
      <c r="M17" s="203"/>
      <c r="N17" s="204"/>
      <c r="O17" s="203"/>
      <c r="P17" s="204"/>
      <c r="Q17" s="205"/>
      <c r="R17" s="203"/>
      <c r="S17" s="204"/>
      <c r="T17" s="203"/>
      <c r="U17" s="204"/>
      <c r="V17" s="205"/>
      <c r="W17" s="203"/>
      <c r="X17" s="204"/>
      <c r="Y17" s="203"/>
      <c r="Z17" s="204"/>
      <c r="AA17" s="203"/>
      <c r="AB17" s="203"/>
      <c r="AC17" s="204"/>
      <c r="AD17" s="203"/>
      <c r="AE17" s="204"/>
      <c r="AF17" s="203"/>
      <c r="AG17" s="203"/>
      <c r="AH17" s="204"/>
      <c r="AI17" s="203"/>
      <c r="AJ17" s="204"/>
      <c r="AK17" s="203"/>
      <c r="AL17" s="203"/>
      <c r="AM17" s="204"/>
      <c r="AN17" s="203"/>
      <c r="AO17" s="204"/>
      <c r="AP17" s="203"/>
      <c r="AQ17" s="203"/>
      <c r="AR17" s="204"/>
      <c r="AS17" s="203"/>
      <c r="AT17" s="204"/>
      <c r="AU17" s="203"/>
      <c r="AV17" s="203"/>
      <c r="AW17" s="204"/>
      <c r="AX17" s="203"/>
      <c r="AY17" s="204"/>
      <c r="AZ17" s="203"/>
      <c r="BA17" s="203"/>
      <c r="BB17" s="204"/>
      <c r="BC17" s="203"/>
      <c r="BD17" s="204"/>
      <c r="BE17" s="203"/>
      <c r="BF17" s="203"/>
      <c r="BG17" s="204"/>
      <c r="BH17" s="203"/>
      <c r="BI17" s="204"/>
      <c r="BJ17" s="203"/>
      <c r="BK17" s="203"/>
      <c r="BL17" s="204"/>
      <c r="BM17" s="203"/>
      <c r="BN17" s="204"/>
      <c r="BO17" s="203"/>
      <c r="BP17" s="203"/>
      <c r="BQ17" s="204"/>
      <c r="BR17" s="203"/>
      <c r="BS17" s="204"/>
      <c r="BT17" s="203"/>
      <c r="BU17" s="203"/>
      <c r="BV17" s="204"/>
      <c r="BW17" s="203"/>
      <c r="BX17" s="204"/>
      <c r="BZ17" s="203"/>
      <c r="CA17" s="204"/>
      <c r="CB17" s="203"/>
      <c r="CC17" s="204"/>
    </row>
    <row r="18" spans="1:81" s="100" customFormat="1" x14ac:dyDescent="0.2">
      <c r="A18" s="100" t="s">
        <v>24</v>
      </c>
      <c r="B18" s="101"/>
      <c r="C18" s="206">
        <f>C16+C9</f>
        <v>794.89932885906035</v>
      </c>
      <c r="D18" s="207">
        <f>D16+D9</f>
        <v>809.53020134228188</v>
      </c>
      <c r="E18" s="206">
        <f>E16+E9</f>
        <v>819.06040268456377</v>
      </c>
      <c r="F18" s="207">
        <f>F16+F9</f>
        <v>829.12751677852339</v>
      </c>
      <c r="G18" s="208"/>
      <c r="H18" s="206">
        <f>H16+H9</f>
        <v>866.71140939597308</v>
      </c>
      <c r="I18" s="207">
        <f>I16+I9</f>
        <v>928.32214765100673</v>
      </c>
      <c r="J18" s="206">
        <f>J16+J9</f>
        <v>924.83221476510062</v>
      </c>
      <c r="K18" s="207">
        <f>K16+K9</f>
        <v>986.57718120805384</v>
      </c>
      <c r="L18" s="208"/>
      <c r="M18" s="206">
        <f>M16+M9</f>
        <v>1072.4832214765099</v>
      </c>
      <c r="N18" s="207">
        <f>N16+N9</f>
        <v>1152.7516778523491</v>
      </c>
      <c r="O18" s="206">
        <f>O16+O9</f>
        <v>1229.6644295302012</v>
      </c>
      <c r="P18" s="207">
        <f>P16+P9</f>
        <v>1221.3422818791946</v>
      </c>
      <c r="Q18" s="208"/>
      <c r="R18" s="206">
        <f>R16+R9</f>
        <v>1295.9731543624162</v>
      </c>
      <c r="S18" s="207">
        <f>S16+S9</f>
        <v>1373.2885906040269</v>
      </c>
      <c r="T18" s="206">
        <f>T16+T9</f>
        <v>1383.7583892617449</v>
      </c>
      <c r="U18" s="207">
        <f>U16+U9</f>
        <v>1333.5570469798658</v>
      </c>
      <c r="V18" s="208"/>
      <c r="W18" s="206">
        <f>W16+W9</f>
        <v>1306.7114093959731</v>
      </c>
      <c r="X18" s="207">
        <f>X16+X9</f>
        <v>1327.3825503355706</v>
      </c>
      <c r="Y18" s="206">
        <f>Y16+Y9</f>
        <v>1354.7651006711408</v>
      </c>
      <c r="Z18" s="207">
        <f>Z16+Z9</f>
        <v>1358.9261744966443</v>
      </c>
      <c r="AA18" s="206"/>
      <c r="AB18" s="206">
        <f>AB16+AB9</f>
        <v>1498.1208053691275</v>
      </c>
      <c r="AC18" s="207">
        <f>AC16+AC9</f>
        <v>1628.7248322147648</v>
      </c>
      <c r="AD18" s="206">
        <f>AD16+AD9</f>
        <v>1658.1208053691275</v>
      </c>
      <c r="AE18" s="207">
        <f>AE16+AE9</f>
        <v>1685.3691275167785</v>
      </c>
      <c r="AF18" s="206"/>
      <c r="AG18" s="206">
        <f>AG16+AG9</f>
        <v>1833.5570469798658</v>
      </c>
      <c r="AH18" s="207">
        <f>AH16+AH9</f>
        <v>1816.1073825503354</v>
      </c>
      <c r="AI18" s="206">
        <f>AI16+AI9</f>
        <v>1826.4429530201342</v>
      </c>
      <c r="AJ18" s="207">
        <f>AJ16+AJ9</f>
        <v>1803.8926174496644</v>
      </c>
      <c r="AK18" s="206"/>
      <c r="AL18" s="206">
        <f>AL16+AL9</f>
        <v>1771.8120805369126</v>
      </c>
      <c r="AM18" s="207">
        <f>AM16+AM9</f>
        <v>1796.6442953020132</v>
      </c>
      <c r="AN18" s="206">
        <f>AN16+AN9</f>
        <v>1772.8859060402683</v>
      </c>
      <c r="AO18" s="207">
        <f>AO16+AO9</f>
        <v>1736.3758389261743</v>
      </c>
      <c r="AP18" s="206"/>
      <c r="AQ18" s="206">
        <f>AQ16+AQ9</f>
        <v>1833.6912751677851</v>
      </c>
      <c r="AR18" s="207">
        <f>AR16+AR9</f>
        <v>1791.2751677852348</v>
      </c>
      <c r="AS18" s="206">
        <f>AS16+AS9</f>
        <v>1816.6442953020135</v>
      </c>
      <c r="AT18" s="207">
        <f>AT16+AT9</f>
        <v>1744.2953020134228</v>
      </c>
      <c r="AU18" s="206"/>
      <c r="AV18" s="206">
        <f>AV16+AV9</f>
        <v>1763.489932885906</v>
      </c>
      <c r="AW18" s="207">
        <f>AW16+AW9</f>
        <v>1751.8120805369126</v>
      </c>
      <c r="AX18" s="206">
        <f>AX16+AX9</f>
        <v>1802.9530201342282</v>
      </c>
      <c r="AY18" s="207">
        <f>AY16+AY9</f>
        <v>1656.1073825503354</v>
      </c>
      <c r="AZ18" s="206"/>
      <c r="BA18" s="206">
        <f>BA16+BA9</f>
        <v>1851.4093959731542</v>
      </c>
      <c r="BB18" s="207">
        <f>BB16+BB9</f>
        <v>1860.6711409395971</v>
      </c>
      <c r="BC18" s="206">
        <f>BC16+BC9</f>
        <v>1735.8389261744967</v>
      </c>
      <c r="BD18" s="207">
        <f>BD16+BD9</f>
        <v>1683.6</v>
      </c>
      <c r="BE18" s="206"/>
      <c r="BF18" s="206">
        <f>BF16+BF9</f>
        <v>1736.4</v>
      </c>
      <c r="BG18" s="207">
        <f>BG16+BG9</f>
        <v>1787.1999999999998</v>
      </c>
      <c r="BH18" s="206">
        <f>BH16+BH9</f>
        <v>1728.6</v>
      </c>
      <c r="BI18" s="207">
        <f>BI16+BI9</f>
        <v>1747.1</v>
      </c>
      <c r="BJ18" s="206"/>
      <c r="BK18" s="206">
        <f>BK16+BK9</f>
        <v>2682.4</v>
      </c>
      <c r="BL18" s="207">
        <f>BL16+BL9</f>
        <v>2809</v>
      </c>
      <c r="BM18" s="206">
        <f>BM16+BM9</f>
        <v>2785.5</v>
      </c>
      <c r="BN18" s="207">
        <f>BN16+BN9</f>
        <v>1904.6000000000001</v>
      </c>
      <c r="BO18" s="206"/>
      <c r="BP18" s="206">
        <f>BP16+BP9</f>
        <v>1923.3000000000002</v>
      </c>
      <c r="BQ18" s="207">
        <f>BQ16+BQ9</f>
        <v>1926.3999999999999</v>
      </c>
      <c r="BR18" s="206">
        <f>BR16+BR9</f>
        <v>1938</v>
      </c>
      <c r="BS18" s="207">
        <f>BS16+BS9</f>
        <v>1859.2000000000003</v>
      </c>
      <c r="BT18" s="206"/>
      <c r="BU18" s="206">
        <f>BU16+BU9</f>
        <v>1867.8</v>
      </c>
      <c r="BV18" s="207">
        <f>BV16+BV9</f>
        <v>1895.8999999999999</v>
      </c>
      <c r="BW18" s="206">
        <f>BW16+BW9</f>
        <v>1886.3000000000002</v>
      </c>
      <c r="BX18" s="207">
        <f>BX16+BX9</f>
        <v>1789.4</v>
      </c>
      <c r="BZ18" s="206">
        <f>BZ16+BZ9</f>
        <v>1795.7999999999997</v>
      </c>
      <c r="CA18" s="207"/>
      <c r="CB18" s="206"/>
      <c r="CC18" s="207"/>
    </row>
    <row r="19" spans="1:81" x14ac:dyDescent="0.2">
      <c r="C19" s="200"/>
      <c r="D19" s="201"/>
      <c r="E19" s="200"/>
      <c r="F19" s="201"/>
      <c r="G19" s="202"/>
      <c r="H19" s="200"/>
      <c r="I19" s="201"/>
      <c r="J19" s="200"/>
      <c r="K19" s="201"/>
      <c r="L19" s="202"/>
      <c r="M19" s="200"/>
      <c r="N19" s="201"/>
      <c r="O19" s="200"/>
      <c r="P19" s="201"/>
      <c r="Q19" s="202"/>
      <c r="R19" s="200"/>
      <c r="S19" s="201"/>
      <c r="T19" s="200"/>
      <c r="U19" s="201"/>
      <c r="V19" s="202"/>
      <c r="W19" s="200"/>
      <c r="X19" s="201"/>
      <c r="Y19" s="200"/>
      <c r="Z19" s="201"/>
      <c r="AA19" s="200"/>
      <c r="AB19" s="200"/>
      <c r="AC19" s="201"/>
      <c r="AD19" s="200"/>
      <c r="AE19" s="201"/>
      <c r="AF19" s="200"/>
      <c r="AG19" s="200"/>
      <c r="AH19" s="201"/>
      <c r="AI19" s="200"/>
      <c r="AJ19" s="201"/>
      <c r="AK19" s="200"/>
      <c r="AL19" s="200"/>
      <c r="AM19" s="201"/>
      <c r="AN19" s="200"/>
      <c r="AO19" s="201"/>
      <c r="AP19" s="200"/>
      <c r="AQ19" s="200"/>
      <c r="AR19" s="201"/>
      <c r="AS19" s="200"/>
      <c r="AT19" s="201"/>
      <c r="AU19" s="200"/>
      <c r="AV19" s="200"/>
      <c r="AW19" s="201"/>
      <c r="AX19" s="200"/>
      <c r="AY19" s="201"/>
      <c r="AZ19" s="200"/>
      <c r="BA19" s="200"/>
      <c r="BB19" s="201"/>
      <c r="BC19" s="200"/>
      <c r="BD19" s="201"/>
      <c r="BE19" s="200"/>
      <c r="BF19" s="200"/>
      <c r="BG19" s="201"/>
      <c r="BH19" s="200"/>
      <c r="BI19" s="201"/>
      <c r="BJ19" s="200"/>
      <c r="BK19" s="200"/>
      <c r="BL19" s="201"/>
      <c r="BM19" s="200"/>
      <c r="BN19" s="201"/>
      <c r="BO19" s="200"/>
      <c r="BP19" s="200"/>
      <c r="BQ19" s="201"/>
      <c r="BR19" s="200"/>
      <c r="BS19" s="201"/>
      <c r="BT19" s="200"/>
      <c r="BU19" s="200"/>
      <c r="BV19" s="201"/>
      <c r="BW19" s="200"/>
      <c r="BX19" s="201"/>
      <c r="BZ19" s="200"/>
      <c r="CA19" s="201"/>
      <c r="CB19" s="200"/>
      <c r="CC19" s="201"/>
    </row>
    <row r="20" spans="1:81" x14ac:dyDescent="0.2">
      <c r="A20" s="96" t="s">
        <v>19</v>
      </c>
      <c r="C20" s="200"/>
      <c r="D20" s="201"/>
      <c r="E20" s="200"/>
      <c r="F20" s="201"/>
      <c r="G20" s="202"/>
      <c r="H20" s="200"/>
      <c r="I20" s="201"/>
      <c r="J20" s="200"/>
      <c r="K20" s="201"/>
      <c r="L20" s="202"/>
      <c r="M20" s="200"/>
      <c r="N20" s="201"/>
      <c r="O20" s="200"/>
      <c r="P20" s="201"/>
      <c r="Q20" s="202"/>
      <c r="R20" s="200"/>
      <c r="S20" s="201"/>
      <c r="T20" s="200"/>
      <c r="U20" s="201"/>
      <c r="V20" s="202"/>
      <c r="W20" s="200"/>
      <c r="X20" s="201"/>
      <c r="Y20" s="200"/>
      <c r="Z20" s="201"/>
      <c r="AA20" s="200"/>
      <c r="AB20" s="200"/>
      <c r="AC20" s="201"/>
      <c r="AD20" s="200"/>
      <c r="AE20" s="201"/>
      <c r="AF20" s="200"/>
      <c r="AG20" s="200"/>
      <c r="AH20" s="201"/>
      <c r="AI20" s="200"/>
      <c r="AJ20" s="201"/>
      <c r="AK20" s="200"/>
      <c r="AL20" s="200"/>
      <c r="AM20" s="201"/>
      <c r="AN20" s="200"/>
      <c r="AO20" s="201"/>
      <c r="AP20" s="200"/>
      <c r="AQ20" s="200"/>
      <c r="AR20" s="201"/>
      <c r="AS20" s="200"/>
      <c r="AT20" s="201"/>
      <c r="AU20" s="200"/>
      <c r="AV20" s="200"/>
      <c r="AW20" s="201"/>
      <c r="AX20" s="200"/>
      <c r="AY20" s="201"/>
      <c r="AZ20" s="200"/>
      <c r="BA20" s="200"/>
      <c r="BB20" s="201"/>
      <c r="BC20" s="200"/>
      <c r="BD20" s="201"/>
      <c r="BE20" s="200"/>
      <c r="BF20" s="200"/>
      <c r="BG20" s="201"/>
      <c r="BH20" s="200"/>
      <c r="BI20" s="201"/>
      <c r="BJ20" s="200"/>
      <c r="BK20" s="200"/>
      <c r="BL20" s="201"/>
      <c r="BM20" s="200"/>
      <c r="BN20" s="201"/>
      <c r="BO20" s="200"/>
      <c r="BP20" s="200"/>
      <c r="BQ20" s="201"/>
      <c r="BR20" s="200"/>
      <c r="BS20" s="201"/>
      <c r="BT20" s="200"/>
      <c r="BU20" s="200"/>
      <c r="BV20" s="201"/>
      <c r="BW20" s="200"/>
      <c r="BX20" s="201"/>
      <c r="BZ20" s="200"/>
      <c r="CA20" s="201"/>
      <c r="CB20" s="200"/>
      <c r="CC20" s="201"/>
    </row>
    <row r="21" spans="1:81" x14ac:dyDescent="0.2">
      <c r="A21" s="15" t="s">
        <v>25</v>
      </c>
      <c r="C21" s="200">
        <f>(2742)/7.45</f>
        <v>368.05369127516775</v>
      </c>
      <c r="D21" s="201">
        <v>362.81879194630869</v>
      </c>
      <c r="E21" s="200">
        <v>345.36912751677852</v>
      </c>
      <c r="F21" s="201">
        <v>358.65771812080538</v>
      </c>
      <c r="G21" s="202"/>
      <c r="H21" s="200">
        <v>363.89261744966444</v>
      </c>
      <c r="I21" s="201">
        <v>339.06040268456377</v>
      </c>
      <c r="J21" s="200">
        <v>357.44966442953017</v>
      </c>
      <c r="K21" s="201">
        <v>374.09395973154363</v>
      </c>
      <c r="L21" s="202"/>
      <c r="M21" s="200">
        <v>387.5167785234899</v>
      </c>
      <c r="N21" s="201">
        <v>382.14765100671138</v>
      </c>
      <c r="O21" s="200">
        <v>397.31543624161071</v>
      </c>
      <c r="P21" s="201">
        <v>435.70469798657717</v>
      </c>
      <c r="Q21" s="202"/>
      <c r="R21" s="200">
        <v>447.91946308724829</v>
      </c>
      <c r="S21" s="201">
        <v>450.33557046979865</v>
      </c>
      <c r="T21" s="200">
        <v>482.95302013422815</v>
      </c>
      <c r="U21" s="201">
        <v>460</v>
      </c>
      <c r="V21" s="202"/>
      <c r="W21" s="200">
        <v>463.22147651006708</v>
      </c>
      <c r="X21" s="201">
        <v>470.85906040268458</v>
      </c>
      <c r="Y21" s="200">
        <v>474.8993288590604</v>
      </c>
      <c r="Z21" s="201">
        <v>499.19463087248323</v>
      </c>
      <c r="AA21" s="200"/>
      <c r="AB21" s="200">
        <v>511.40939597315435</v>
      </c>
      <c r="AC21" s="201">
        <v>540.93959731543623</v>
      </c>
      <c r="AD21" s="200">
        <v>535.83892617449658</v>
      </c>
      <c r="AE21" s="201">
        <v>551.00671140939596</v>
      </c>
      <c r="AF21" s="200"/>
      <c r="AG21" s="200">
        <v>535.43624161073819</v>
      </c>
      <c r="AH21" s="201">
        <v>534.63087248322142</v>
      </c>
      <c r="AI21" s="200">
        <v>536.91275167785238</v>
      </c>
      <c r="AJ21" s="201">
        <v>544.96644295302008</v>
      </c>
      <c r="AK21" s="200"/>
      <c r="AL21" s="200">
        <v>552.48322147651004</v>
      </c>
      <c r="AM21" s="201">
        <v>745.234899328859</v>
      </c>
      <c r="AN21" s="200">
        <v>758.38926174496646</v>
      </c>
      <c r="AO21" s="201">
        <v>769.1275167785235</v>
      </c>
      <c r="AP21" s="200"/>
      <c r="AQ21" s="200">
        <v>747.78523489932888</v>
      </c>
      <c r="AR21" s="201">
        <v>752.08053691275165</v>
      </c>
      <c r="AS21" s="200">
        <v>753.15436241610735</v>
      </c>
      <c r="AT21" s="201">
        <v>760.67114093959731</v>
      </c>
      <c r="AU21" s="200"/>
      <c r="AV21" s="200">
        <v>751.67785234899327</v>
      </c>
      <c r="AW21" s="201">
        <v>763.08724832214762</v>
      </c>
      <c r="AX21" s="200">
        <v>793.69127516778519</v>
      </c>
      <c r="AY21" s="201">
        <v>801.20805369127515</v>
      </c>
      <c r="AZ21" s="200"/>
      <c r="BA21" s="200">
        <v>846.97986577181211</v>
      </c>
      <c r="BB21" s="201">
        <v>802.55033557046977</v>
      </c>
      <c r="BC21" s="200">
        <v>798.79194630872485</v>
      </c>
      <c r="BD21" s="201">
        <v>808.6</v>
      </c>
      <c r="BE21" s="200"/>
      <c r="BF21" s="200">
        <v>802.1</v>
      </c>
      <c r="BG21" s="201">
        <v>801.7</v>
      </c>
      <c r="BH21" s="200">
        <v>760.2</v>
      </c>
      <c r="BI21" s="201">
        <v>951.4</v>
      </c>
      <c r="BJ21" s="200"/>
      <c r="BK21" s="200">
        <v>971.5</v>
      </c>
      <c r="BL21" s="201">
        <v>982.2</v>
      </c>
      <c r="BM21" s="200">
        <v>993.3</v>
      </c>
      <c r="BN21" s="201">
        <v>816.3</v>
      </c>
      <c r="BO21" s="200"/>
      <c r="BP21" s="200">
        <v>774.9</v>
      </c>
      <c r="BQ21" s="201">
        <v>767.2</v>
      </c>
      <c r="BR21" s="200">
        <v>774.5</v>
      </c>
      <c r="BS21" s="201">
        <f>745.6-2.4</f>
        <v>743.2</v>
      </c>
      <c r="BT21" s="200"/>
      <c r="BU21" s="200">
        <v>713.8</v>
      </c>
      <c r="BV21" s="201">
        <v>687.7</v>
      </c>
      <c r="BW21" s="200">
        <v>656</v>
      </c>
      <c r="BX21" s="201">
        <v>651.4</v>
      </c>
      <c r="BZ21" s="200">
        <v>569.5</v>
      </c>
      <c r="CA21" s="201"/>
      <c r="CB21" s="200"/>
      <c r="CC21" s="201"/>
    </row>
    <row r="22" spans="1:81" x14ac:dyDescent="0.2">
      <c r="A22" s="15" t="s">
        <v>177</v>
      </c>
      <c r="C22" s="200"/>
      <c r="D22" s="201"/>
      <c r="E22" s="200"/>
      <c r="F22" s="201"/>
      <c r="G22" s="202"/>
      <c r="H22" s="200"/>
      <c r="I22" s="201"/>
      <c r="J22" s="200"/>
      <c r="K22" s="201"/>
      <c r="L22" s="202"/>
      <c r="M22" s="200"/>
      <c r="N22" s="201"/>
      <c r="O22" s="200"/>
      <c r="P22" s="201"/>
      <c r="Q22" s="202"/>
      <c r="R22" s="200"/>
      <c r="S22" s="201"/>
      <c r="T22" s="200"/>
      <c r="U22" s="201"/>
      <c r="V22" s="202"/>
      <c r="W22" s="200"/>
      <c r="X22" s="201"/>
      <c r="Y22" s="200"/>
      <c r="Z22" s="201"/>
      <c r="AA22" s="200"/>
      <c r="AB22" s="200"/>
      <c r="AC22" s="201"/>
      <c r="AD22" s="200"/>
      <c r="AE22" s="201"/>
      <c r="AF22" s="200"/>
      <c r="AG22" s="200"/>
      <c r="AH22" s="201"/>
      <c r="AI22" s="200"/>
      <c r="AJ22" s="201"/>
      <c r="AK22" s="200"/>
      <c r="AL22" s="200"/>
      <c r="AM22" s="201"/>
      <c r="AN22" s="200"/>
      <c r="AO22" s="201"/>
      <c r="AP22" s="200"/>
      <c r="AQ22" s="200"/>
      <c r="AR22" s="201"/>
      <c r="AS22" s="200"/>
      <c r="AT22" s="201"/>
      <c r="AU22" s="200"/>
      <c r="AV22" s="200"/>
      <c r="AW22" s="201"/>
      <c r="AX22" s="200"/>
      <c r="AY22" s="201"/>
      <c r="AZ22" s="200"/>
      <c r="BA22" s="200"/>
      <c r="BB22" s="201"/>
      <c r="BC22" s="200"/>
      <c r="BD22" s="201"/>
      <c r="BE22" s="200"/>
      <c r="BF22" s="200"/>
      <c r="BG22" s="201"/>
      <c r="BH22" s="200"/>
      <c r="BI22" s="201"/>
      <c r="BJ22" s="200"/>
      <c r="BK22" s="200"/>
      <c r="BL22" s="201"/>
      <c r="BM22" s="200"/>
      <c r="BN22" s="201"/>
      <c r="BO22" s="200"/>
      <c r="BP22" s="200"/>
      <c r="BQ22" s="201"/>
      <c r="BR22" s="200">
        <v>150</v>
      </c>
      <c r="BS22" s="201">
        <v>152.4</v>
      </c>
      <c r="BT22" s="200"/>
      <c r="BU22" s="200">
        <v>154.4</v>
      </c>
      <c r="BV22" s="201">
        <v>156.4</v>
      </c>
      <c r="BW22" s="200">
        <v>150.30000000000001</v>
      </c>
      <c r="BX22" s="201">
        <v>152.4</v>
      </c>
      <c r="BZ22" s="200">
        <v>154.4</v>
      </c>
      <c r="CA22" s="201"/>
      <c r="CB22" s="200"/>
      <c r="CC22" s="201"/>
    </row>
    <row r="23" spans="1:81" s="98" customFormat="1" x14ac:dyDescent="0.2">
      <c r="A23" s="98" t="s">
        <v>8</v>
      </c>
      <c r="B23" s="99"/>
      <c r="C23" s="203">
        <v>7.7852348993288585</v>
      </c>
      <c r="D23" s="204">
        <v>7.9194630872483218</v>
      </c>
      <c r="E23" s="203">
        <v>8.4563758389261743</v>
      </c>
      <c r="F23" s="204">
        <v>8.4563758389261743</v>
      </c>
      <c r="G23" s="205"/>
      <c r="H23" s="203">
        <v>8.5906040268456376</v>
      </c>
      <c r="I23" s="204">
        <v>9.5302013422818792</v>
      </c>
      <c r="J23" s="203">
        <v>1.8791946308724832</v>
      </c>
      <c r="K23" s="204">
        <v>2.5503355704697985</v>
      </c>
      <c r="L23" s="205"/>
      <c r="M23" s="203">
        <v>2.6845637583892619</v>
      </c>
      <c r="N23" s="204">
        <v>3.3557046979865772</v>
      </c>
      <c r="O23" s="203">
        <v>3.8926174496644292</v>
      </c>
      <c r="P23" s="204">
        <v>4.9664429530201337</v>
      </c>
      <c r="Q23" s="205"/>
      <c r="R23" s="203">
        <v>5.2348993288590604</v>
      </c>
      <c r="S23" s="204">
        <v>5.6375838926174495</v>
      </c>
      <c r="T23" s="203">
        <v>6.174496644295302</v>
      </c>
      <c r="U23" s="204">
        <v>5.1006711409395971</v>
      </c>
      <c r="V23" s="205"/>
      <c r="W23" s="203">
        <v>4.2953020134228188</v>
      </c>
      <c r="X23" s="204">
        <v>4.6174496644295298</v>
      </c>
      <c r="Y23" s="203">
        <v>5.5033557046979862</v>
      </c>
      <c r="Z23" s="204">
        <v>2.8187919463087248</v>
      </c>
      <c r="AA23" s="203"/>
      <c r="AB23" s="203">
        <v>2.9530201342281877</v>
      </c>
      <c r="AC23" s="204">
        <v>3.087248322147651</v>
      </c>
      <c r="AD23" s="203">
        <v>0.93959731543624159</v>
      </c>
      <c r="AE23" s="204">
        <v>0.93959731543624159</v>
      </c>
      <c r="AF23" s="203"/>
      <c r="AG23" s="203">
        <v>0.67114093959731547</v>
      </c>
      <c r="AH23" s="204">
        <v>0.80536912751677847</v>
      </c>
      <c r="AI23" s="203">
        <v>0.80536912751677847</v>
      </c>
      <c r="AJ23" s="204">
        <v>0.80536912751677847</v>
      </c>
      <c r="AK23" s="203"/>
      <c r="AL23" s="203">
        <v>0.80536912751677847</v>
      </c>
      <c r="AM23" s="204">
        <v>0.80536912751677847</v>
      </c>
      <c r="AN23" s="203">
        <v>0.93959731543624159</v>
      </c>
      <c r="AO23" s="204">
        <v>0.93959731543624159</v>
      </c>
      <c r="AP23" s="203"/>
      <c r="AQ23" s="203">
        <v>1.0738255033557047</v>
      </c>
      <c r="AR23" s="204">
        <v>0.93959731543624159</v>
      </c>
      <c r="AS23" s="203">
        <v>0.93959731543624159</v>
      </c>
      <c r="AT23" s="204">
        <v>0.93959731543624159</v>
      </c>
      <c r="AU23" s="203"/>
      <c r="AV23" s="203">
        <v>0.80536912751677847</v>
      </c>
      <c r="AW23" s="204">
        <v>0.80536912751677847</v>
      </c>
      <c r="AX23" s="203">
        <v>0.80536912751677847</v>
      </c>
      <c r="AY23" s="204">
        <v>0.80536912751677847</v>
      </c>
      <c r="AZ23" s="203"/>
      <c r="BA23" s="203">
        <v>0.93959731543624159</v>
      </c>
      <c r="BB23" s="204">
        <v>0.93959731543624159</v>
      </c>
      <c r="BC23" s="203">
        <v>0.93959731543624159</v>
      </c>
      <c r="BD23" s="204">
        <v>0.9</v>
      </c>
      <c r="BE23" s="203"/>
      <c r="BF23" s="203">
        <v>0.93959731543624159</v>
      </c>
      <c r="BG23" s="204">
        <v>0</v>
      </c>
      <c r="BH23" s="203">
        <v>0</v>
      </c>
      <c r="BI23" s="204">
        <v>0</v>
      </c>
      <c r="BJ23" s="203"/>
      <c r="BK23" s="203">
        <v>0</v>
      </c>
      <c r="BL23" s="204">
        <v>0</v>
      </c>
      <c r="BM23" s="203">
        <v>0</v>
      </c>
      <c r="BN23" s="204">
        <v>0</v>
      </c>
      <c r="BO23" s="203"/>
      <c r="BP23" s="203">
        <v>0</v>
      </c>
      <c r="BQ23" s="204">
        <v>0</v>
      </c>
      <c r="BR23" s="203">
        <v>0</v>
      </c>
      <c r="BS23" s="204">
        <v>0</v>
      </c>
      <c r="BT23" s="203"/>
      <c r="BU23" s="203">
        <v>0</v>
      </c>
      <c r="BV23" s="204">
        <v>0</v>
      </c>
      <c r="BW23" s="203">
        <v>0</v>
      </c>
      <c r="BX23" s="204">
        <v>0</v>
      </c>
      <c r="BZ23" s="203">
        <v>0</v>
      </c>
      <c r="CA23" s="204"/>
      <c r="CB23" s="203"/>
      <c r="CC23" s="204"/>
    </row>
    <row r="24" spans="1:81" x14ac:dyDescent="0.2">
      <c r="A24" s="15" t="s">
        <v>95</v>
      </c>
      <c r="C24" s="200">
        <f>SUM(C21:C23)</f>
        <v>375.83892617449663</v>
      </c>
      <c r="D24" s="201">
        <f>SUM(D21:D23)</f>
        <v>370.73825503355704</v>
      </c>
      <c r="E24" s="200">
        <f>SUM(E21:E23)</f>
        <v>353.82550335570471</v>
      </c>
      <c r="F24" s="201">
        <f>SUM(F21:F23)</f>
        <v>367.11409395973158</v>
      </c>
      <c r="G24" s="202"/>
      <c r="H24" s="200">
        <f>SUM(H21:H23)</f>
        <v>372.4832214765101</v>
      </c>
      <c r="I24" s="201">
        <f>SUM(I21:I23)</f>
        <v>348.59060402684565</v>
      </c>
      <c r="J24" s="200">
        <f>SUM(J21:J23)</f>
        <v>359.32885906040264</v>
      </c>
      <c r="K24" s="201">
        <f>SUM(K21:K23)</f>
        <v>376.64429530201346</v>
      </c>
      <c r="L24" s="202"/>
      <c r="M24" s="200">
        <f>SUM(M21:M23)</f>
        <v>390.20134228187919</v>
      </c>
      <c r="N24" s="201">
        <f>SUM(N21:N23)</f>
        <v>385.50335570469798</v>
      </c>
      <c r="O24" s="200">
        <f>SUM(O21:O23)</f>
        <v>401.20805369127515</v>
      </c>
      <c r="P24" s="201">
        <f>SUM(P21:P23)</f>
        <v>440.67114093959731</v>
      </c>
      <c r="Q24" s="202"/>
      <c r="R24" s="200">
        <f>SUM(R21:R23)</f>
        <v>453.15436241610735</v>
      </c>
      <c r="S24" s="201">
        <f>SUM(S21:S23)</f>
        <v>455.9731543624161</v>
      </c>
      <c r="T24" s="200">
        <f>SUM(T21:T23)</f>
        <v>489.12751677852344</v>
      </c>
      <c r="U24" s="201">
        <f>SUM(U21:U23)</f>
        <v>465.1006711409396</v>
      </c>
      <c r="V24" s="202"/>
      <c r="W24" s="200">
        <f>SUM(W21:W23)</f>
        <v>467.5167785234899</v>
      </c>
      <c r="X24" s="201">
        <f>SUM(X21:X23)</f>
        <v>475.47651006711413</v>
      </c>
      <c r="Y24" s="200">
        <f>SUM(Y21:Y23)</f>
        <v>480.40268456375838</v>
      </c>
      <c r="Z24" s="201">
        <f>SUM(Z21:Z23)</f>
        <v>502.01342281879198</v>
      </c>
      <c r="AA24" s="200"/>
      <c r="AB24" s="200">
        <f>SUM(AB21:AB23)</f>
        <v>514.3624161073825</v>
      </c>
      <c r="AC24" s="201">
        <f>SUM(AC21:AC23)</f>
        <v>544.02684563758385</v>
      </c>
      <c r="AD24" s="200">
        <f>SUM(AD21:AD23)</f>
        <v>536.77852348993281</v>
      </c>
      <c r="AE24" s="201">
        <f>SUM(AE21:AE23)</f>
        <v>551.94630872483219</v>
      </c>
      <c r="AF24" s="200"/>
      <c r="AG24" s="200">
        <f>SUM(AG21:AG23)</f>
        <v>536.1073825503355</v>
      </c>
      <c r="AH24" s="201">
        <f>SUM(AH21:AH23)</f>
        <v>535.43624161073819</v>
      </c>
      <c r="AI24" s="200">
        <f>SUM(AI21:AI23)</f>
        <v>537.71812080536915</v>
      </c>
      <c r="AJ24" s="201">
        <f>SUM(AJ21:AJ23)</f>
        <v>545.77181208053685</v>
      </c>
      <c r="AK24" s="200"/>
      <c r="AL24" s="200">
        <f>SUM(AL21:AL23)</f>
        <v>553.28859060402681</v>
      </c>
      <c r="AM24" s="201">
        <f>SUM(AM21:AM23)</f>
        <v>746.04026845637577</v>
      </c>
      <c r="AN24" s="200">
        <f>SUM(AN21:AN23)</f>
        <v>759.32885906040269</v>
      </c>
      <c r="AO24" s="201">
        <f>SUM(AO21:AO23)</f>
        <v>770.06711409395973</v>
      </c>
      <c r="AP24" s="200"/>
      <c r="AQ24" s="200">
        <f>SUM(AQ21:AQ23)</f>
        <v>748.85906040268458</v>
      </c>
      <c r="AR24" s="201">
        <f>SUM(AR21:AR23)</f>
        <v>753.02013422818789</v>
      </c>
      <c r="AS24" s="200">
        <f>SUM(AS21:AS23)</f>
        <v>754.09395973154358</v>
      </c>
      <c r="AT24" s="201">
        <f>SUM(AT21:AT23)</f>
        <v>761.61073825503354</v>
      </c>
      <c r="AU24" s="200"/>
      <c r="AV24" s="200">
        <f>SUM(AV21:AV23)</f>
        <v>752.48322147651004</v>
      </c>
      <c r="AW24" s="201">
        <f>SUM(AW21:AW23)</f>
        <v>763.89261744966439</v>
      </c>
      <c r="AX24" s="200">
        <f>SUM(AX21:AX23)</f>
        <v>794.49664429530196</v>
      </c>
      <c r="AY24" s="201">
        <f>SUM(AY21:AY23)</f>
        <v>802.01342281879192</v>
      </c>
      <c r="AZ24" s="200"/>
      <c r="BA24" s="200">
        <f>SUM(BA21:BA23)</f>
        <v>847.91946308724835</v>
      </c>
      <c r="BB24" s="201">
        <f>SUM(BB21:BB23)</f>
        <v>803.489932885906</v>
      </c>
      <c r="BC24" s="200">
        <f>SUM(BC21:BC23)</f>
        <v>799.73154362416108</v>
      </c>
      <c r="BD24" s="201">
        <f>SUM(BD21:BD23)</f>
        <v>809.5</v>
      </c>
      <c r="BE24" s="200"/>
      <c r="BF24" s="200">
        <f>SUM(BF21:BF23)</f>
        <v>803.03959731543625</v>
      </c>
      <c r="BG24" s="201">
        <f>SUM(BG21:BG23)</f>
        <v>801.7</v>
      </c>
      <c r="BH24" s="200">
        <f>SUM(BH21:BH23)</f>
        <v>760.2</v>
      </c>
      <c r="BI24" s="201">
        <f>SUM(BI21:BI23)</f>
        <v>951.4</v>
      </c>
      <c r="BJ24" s="200"/>
      <c r="BK24" s="200">
        <f>SUM(BK21:BK23)</f>
        <v>971.5</v>
      </c>
      <c r="BL24" s="201">
        <f>SUM(BL21:BL23)</f>
        <v>982.2</v>
      </c>
      <c r="BM24" s="200">
        <f>SUM(BM21:BM23)</f>
        <v>993.3</v>
      </c>
      <c r="BN24" s="201">
        <f>SUM(BN21:BN23)</f>
        <v>816.3</v>
      </c>
      <c r="BO24" s="200"/>
      <c r="BP24" s="200">
        <f>SUM(BP21:BP23)</f>
        <v>774.9</v>
      </c>
      <c r="BQ24" s="201">
        <f>SUM(BQ21:BQ23)</f>
        <v>767.2</v>
      </c>
      <c r="BR24" s="200">
        <f>SUM(BR21:BR23)</f>
        <v>924.5</v>
      </c>
      <c r="BS24" s="201">
        <f>SUM(BS21:BS23)</f>
        <v>895.6</v>
      </c>
      <c r="BT24" s="200"/>
      <c r="BU24" s="200">
        <f>SUM(BU21:BU23)</f>
        <v>868.19999999999993</v>
      </c>
      <c r="BV24" s="201">
        <f>SUM(BV21:BV23)</f>
        <v>844.1</v>
      </c>
      <c r="BW24" s="200">
        <f>SUM(BW21:BW23)</f>
        <v>806.3</v>
      </c>
      <c r="BX24" s="201">
        <f>SUM(BX21:BX23)</f>
        <v>803.8</v>
      </c>
      <c r="BZ24" s="200">
        <f>SUM(BZ21:BZ23)</f>
        <v>723.9</v>
      </c>
      <c r="CA24" s="201"/>
      <c r="CB24" s="200"/>
      <c r="CC24" s="201"/>
    </row>
    <row r="25" spans="1:81" x14ac:dyDescent="0.2">
      <c r="A25" s="15" t="s">
        <v>47</v>
      </c>
      <c r="C25" s="200">
        <f>(8+284+14)/7.45</f>
        <v>41.073825503355707</v>
      </c>
      <c r="D25" s="201">
        <f>(9+283+16)/7.45</f>
        <v>41.34228187919463</v>
      </c>
      <c r="E25" s="200">
        <v>41.208053691275168</v>
      </c>
      <c r="F25" s="201">
        <v>42.281879194630875</v>
      </c>
      <c r="G25" s="202"/>
      <c r="H25" s="216">
        <v>43.624161073825505</v>
      </c>
      <c r="I25" s="201">
        <v>44.161073825503358</v>
      </c>
      <c r="J25" s="200">
        <v>43.221476510067113</v>
      </c>
      <c r="K25" s="201">
        <v>42.550335570469798</v>
      </c>
      <c r="L25" s="202"/>
      <c r="M25" s="200">
        <v>46.442953020134226</v>
      </c>
      <c r="N25" s="201">
        <v>50.469798657718123</v>
      </c>
      <c r="O25" s="200">
        <v>62.147651006711406</v>
      </c>
      <c r="P25" s="201">
        <v>63.624161073825505</v>
      </c>
      <c r="Q25" s="202"/>
      <c r="R25" s="200">
        <v>68.322147651006716</v>
      </c>
      <c r="S25" s="201">
        <v>69.127516778523486</v>
      </c>
      <c r="T25" s="200">
        <f>(125+286+98)/7.45</f>
        <v>68.322147651006716</v>
      </c>
      <c r="U25" s="201">
        <f>(91+280+123)/7.45</f>
        <v>66.308724832214764</v>
      </c>
      <c r="V25" s="202"/>
      <c r="W25" s="200">
        <v>66.174496644295303</v>
      </c>
      <c r="X25" s="201">
        <f>(369.9+144.2)/7.45</f>
        <v>69.006711409395962</v>
      </c>
      <c r="Y25" s="200">
        <v>70.872483221476514</v>
      </c>
      <c r="Z25" s="201">
        <v>73.959731543624159</v>
      </c>
      <c r="AA25" s="200"/>
      <c r="AB25" s="200">
        <f>(147+286+42)/7.45</f>
        <v>63.758389261744966</v>
      </c>
      <c r="AC25" s="201">
        <v>73.557046979865774</v>
      </c>
      <c r="AD25" s="200">
        <v>76.912751677852341</v>
      </c>
      <c r="AE25" s="201">
        <v>78.255033557046971</v>
      </c>
      <c r="AF25" s="200"/>
      <c r="AG25" s="200">
        <v>74.09395973154362</v>
      </c>
      <c r="AH25" s="201">
        <v>68.053691275167779</v>
      </c>
      <c r="AI25" s="200">
        <v>63.221476510067113</v>
      </c>
      <c r="AJ25" s="201">
        <v>81.610738255033553</v>
      </c>
      <c r="AK25" s="200"/>
      <c r="AL25" s="200">
        <v>75.570469798657712</v>
      </c>
      <c r="AM25" s="201">
        <v>71.677852348993284</v>
      </c>
      <c r="AN25" s="200">
        <v>73.959731543624159</v>
      </c>
      <c r="AO25" s="201">
        <v>88.724832214765101</v>
      </c>
      <c r="AP25" s="200"/>
      <c r="AQ25" s="200">
        <v>91.140939597315437</v>
      </c>
      <c r="AR25" s="201">
        <v>90.335570469798654</v>
      </c>
      <c r="AS25" s="200">
        <f>(251+343+71)/7.45</f>
        <v>89.261744966442947</v>
      </c>
      <c r="AT25" s="201">
        <f>(345.8+342.3+69.5)/7.45</f>
        <v>101.69127516778524</v>
      </c>
      <c r="AU25" s="200"/>
      <c r="AV25" s="200">
        <v>93.422818791946312</v>
      </c>
      <c r="AW25" s="201">
        <v>100.93959731543625</v>
      </c>
      <c r="AX25" s="200">
        <f>(379+343+69)/7.45</f>
        <v>106.1744966442953</v>
      </c>
      <c r="AY25" s="201">
        <v>117.18120805369128</v>
      </c>
      <c r="AZ25" s="200"/>
      <c r="BA25" s="200">
        <v>108.85906040268456</v>
      </c>
      <c r="BB25" s="201">
        <v>117.71812080536913</v>
      </c>
      <c r="BC25" s="200">
        <v>119.32885906040268</v>
      </c>
      <c r="BD25" s="201">
        <v>117.5</v>
      </c>
      <c r="BE25" s="200"/>
      <c r="BF25" s="200">
        <v>113</v>
      </c>
      <c r="BG25" s="201">
        <v>112.9</v>
      </c>
      <c r="BH25" s="200">
        <f>42.5+54.6+20.8</f>
        <v>117.89999999999999</v>
      </c>
      <c r="BI25" s="201">
        <v>73.900000000000006</v>
      </c>
      <c r="BJ25" s="200"/>
      <c r="BK25" s="200">
        <v>124.9</v>
      </c>
      <c r="BL25" s="201">
        <f>51.2+53.2+22.6</f>
        <v>127</v>
      </c>
      <c r="BM25" s="200">
        <f>54.5+53.3+30.4</f>
        <v>138.19999999999999</v>
      </c>
      <c r="BN25" s="201">
        <f>28.5+59.9+52.5</f>
        <v>140.9</v>
      </c>
      <c r="BO25" s="200"/>
      <c r="BP25" s="200">
        <f>55.5+52.6+23.6</f>
        <v>131.69999999999999</v>
      </c>
      <c r="BQ25" s="201">
        <f>56.3+52.8+23</f>
        <v>132.1</v>
      </c>
      <c r="BR25" s="200">
        <f>57.3+52.8+20.1</f>
        <v>130.19999999999999</v>
      </c>
      <c r="BS25" s="201">
        <f>46.3+49.9+18.5</f>
        <v>114.69999999999999</v>
      </c>
      <c r="BT25" s="200"/>
      <c r="BU25" s="200">
        <f>45.4+49.9+16.7</f>
        <v>112</v>
      </c>
      <c r="BV25" s="201">
        <f>44.4+49.6+15.1</f>
        <v>109.1</v>
      </c>
      <c r="BW25" s="200">
        <f>43.1+49.6+13.7</f>
        <v>106.4</v>
      </c>
      <c r="BX25" s="201">
        <f>31.8+55.6+14.6</f>
        <v>102</v>
      </c>
      <c r="BZ25" s="200">
        <f>24.5+55.6+11.9</f>
        <v>92</v>
      </c>
      <c r="CA25" s="201"/>
      <c r="CB25" s="200"/>
      <c r="CC25" s="201"/>
    </row>
    <row r="26" spans="1:81" x14ac:dyDescent="0.2">
      <c r="A26" s="15" t="s">
        <v>78</v>
      </c>
      <c r="C26" s="200">
        <v>102.01342281879194</v>
      </c>
      <c r="D26" s="201">
        <v>97.583892617449663</v>
      </c>
      <c r="E26" s="200">
        <v>136.10738255033556</v>
      </c>
      <c r="F26" s="201">
        <v>131.6778523489933</v>
      </c>
      <c r="G26" s="202"/>
      <c r="H26" s="200">
        <v>131.6778523489933</v>
      </c>
      <c r="I26" s="201">
        <v>131.54362416107384</v>
      </c>
      <c r="J26" s="200">
        <v>131.54362416107384</v>
      </c>
      <c r="K26" s="201">
        <v>198.25503355704697</v>
      </c>
      <c r="L26" s="202"/>
      <c r="M26" s="200">
        <v>229.93288590604027</v>
      </c>
      <c r="N26" s="201">
        <v>231.00671140939596</v>
      </c>
      <c r="O26" s="200">
        <v>230.60402684563758</v>
      </c>
      <c r="P26" s="201">
        <v>180.26845637583892</v>
      </c>
      <c r="Q26" s="202"/>
      <c r="R26" s="200">
        <v>189.26174496644296</v>
      </c>
      <c r="S26" s="201">
        <v>196.24161073825502</v>
      </c>
      <c r="T26" s="200">
        <v>192.75167785234899</v>
      </c>
      <c r="U26" s="201">
        <v>176.51006711409394</v>
      </c>
      <c r="V26" s="202"/>
      <c r="W26" s="200">
        <v>165.1006711409396</v>
      </c>
      <c r="X26" s="201">
        <v>255.9731543624161</v>
      </c>
      <c r="Y26" s="200">
        <v>290.73825503355704</v>
      </c>
      <c r="Z26" s="201">
        <v>261.34228187919462</v>
      </c>
      <c r="AA26" s="200"/>
      <c r="AB26" s="200">
        <v>315.70469798657717</v>
      </c>
      <c r="AC26" s="201">
        <v>365.36912751677852</v>
      </c>
      <c r="AD26" s="200">
        <v>384.96644295302013</v>
      </c>
      <c r="AE26" s="201">
        <v>463.35570469798654</v>
      </c>
      <c r="AF26" s="200"/>
      <c r="AG26" s="200">
        <v>550.06711409395973</v>
      </c>
      <c r="AH26" s="201">
        <v>558.12080536912754</v>
      </c>
      <c r="AI26" s="200">
        <v>492.75167785234896</v>
      </c>
      <c r="AJ26" s="201">
        <v>477.58389261744964</v>
      </c>
      <c r="AK26" s="200"/>
      <c r="AL26" s="200">
        <v>520</v>
      </c>
      <c r="AM26" s="201">
        <v>254.36241610738256</v>
      </c>
      <c r="AN26" s="200">
        <v>270.06711409395973</v>
      </c>
      <c r="AO26" s="201">
        <v>73.020134228187914</v>
      </c>
      <c r="AP26" s="200"/>
      <c r="AQ26" s="200">
        <v>151.54362416107381</v>
      </c>
      <c r="AR26" s="201">
        <v>230.46979865771812</v>
      </c>
      <c r="AS26" s="200">
        <v>230.46979865771812</v>
      </c>
      <c r="AT26" s="201">
        <v>281.61073825503354</v>
      </c>
      <c r="AU26" s="200"/>
      <c r="AV26" s="200">
        <v>279.59731543624162</v>
      </c>
      <c r="AW26" s="201">
        <v>262.14765100671138</v>
      </c>
      <c r="AX26" s="200">
        <v>286.57718120805367</v>
      </c>
      <c r="AY26" s="201">
        <v>177.18120805369128</v>
      </c>
      <c r="AZ26" s="200"/>
      <c r="BA26" s="200">
        <v>210.06711409395973</v>
      </c>
      <c r="BB26" s="201">
        <v>251.67785234899327</v>
      </c>
      <c r="BC26" s="200">
        <v>202.28187919463087</v>
      </c>
      <c r="BD26" s="201">
        <v>143.9</v>
      </c>
      <c r="BE26" s="200"/>
      <c r="BF26" s="200">
        <v>197.9</v>
      </c>
      <c r="BG26" s="201">
        <v>212.5</v>
      </c>
      <c r="BH26" s="200">
        <v>185</v>
      </c>
      <c r="BI26" s="201">
        <v>83</v>
      </c>
      <c r="BJ26" s="200"/>
      <c r="BK26" s="200">
        <v>635.4</v>
      </c>
      <c r="BL26" s="201">
        <v>773.8</v>
      </c>
      <c r="BM26" s="200">
        <v>744.6</v>
      </c>
      <c r="BN26" s="201">
        <v>332.8</v>
      </c>
      <c r="BO26" s="200"/>
      <c r="BP26" s="200">
        <v>456.4</v>
      </c>
      <c r="BQ26" s="201">
        <v>414</v>
      </c>
      <c r="BR26" s="200">
        <v>312.60000000000002</v>
      </c>
      <c r="BS26" s="201">
        <v>268.39999999999998</v>
      </c>
      <c r="BT26" s="200"/>
      <c r="BU26" s="200">
        <f>305.1+30.6</f>
        <v>335.70000000000005</v>
      </c>
      <c r="BV26" s="201">
        <f>304.5+29.4</f>
        <v>333.9</v>
      </c>
      <c r="BW26" s="200">
        <f>317+28.2</f>
        <v>345.2</v>
      </c>
      <c r="BX26" s="201">
        <f>206.4+31.6</f>
        <v>238</v>
      </c>
      <c r="BZ26" s="200">
        <v>351.5</v>
      </c>
      <c r="CA26" s="201"/>
      <c r="CB26" s="200"/>
      <c r="CC26" s="201"/>
    </row>
    <row r="27" spans="1:81" x14ac:dyDescent="0.2">
      <c r="A27" s="15" t="s">
        <v>79</v>
      </c>
      <c r="C27" s="200">
        <v>24.697986577181208</v>
      </c>
      <c r="D27" s="201">
        <v>36.107382550335572</v>
      </c>
      <c r="E27" s="200">
        <v>32.348993288590606</v>
      </c>
      <c r="F27" s="201">
        <v>29.261744966442951</v>
      </c>
      <c r="G27" s="202"/>
      <c r="H27" s="200">
        <v>63.624161073825505</v>
      </c>
      <c r="I27" s="201">
        <v>103.89261744966443</v>
      </c>
      <c r="J27" s="200">
        <v>76.77852348993288</v>
      </c>
      <c r="K27" s="201">
        <v>83.758389261744966</v>
      </c>
      <c r="L27" s="202"/>
      <c r="M27" s="200">
        <v>88.724832214765101</v>
      </c>
      <c r="N27" s="201">
        <v>119.32885906040268</v>
      </c>
      <c r="O27" s="200">
        <v>125.7718120805369</v>
      </c>
      <c r="P27" s="201">
        <v>161.74496644295303</v>
      </c>
      <c r="Q27" s="202"/>
      <c r="R27" s="200">
        <v>169.93288590604027</v>
      </c>
      <c r="S27" s="201">
        <v>233.69127516778522</v>
      </c>
      <c r="T27" s="200">
        <v>223.35570469798657</v>
      </c>
      <c r="U27" s="201">
        <v>189.93288590604027</v>
      </c>
      <c r="V27" s="202"/>
      <c r="W27" s="200">
        <v>166.84563758389262</v>
      </c>
      <c r="X27" s="201">
        <v>110.87248322147651</v>
      </c>
      <c r="Y27" s="200">
        <v>83.087248322147644</v>
      </c>
      <c r="Z27" s="201">
        <v>124.29530201342281</v>
      </c>
      <c r="AA27" s="200"/>
      <c r="AB27" s="200">
        <v>151.81208053691276</v>
      </c>
      <c r="AC27" s="201">
        <v>179.59731543624162</v>
      </c>
      <c r="AD27" s="200">
        <v>200.13422818791946</v>
      </c>
      <c r="AE27" s="201">
        <v>128.45637583892616</v>
      </c>
      <c r="AF27" s="200"/>
      <c r="AG27" s="200">
        <v>138.38926174496643</v>
      </c>
      <c r="AH27" s="201">
        <v>145.63758389261744</v>
      </c>
      <c r="AI27" s="200">
        <v>164.69798657718121</v>
      </c>
      <c r="AJ27" s="201">
        <v>161.47651006711408</v>
      </c>
      <c r="AK27" s="200"/>
      <c r="AL27" s="200">
        <v>135.30201342281879</v>
      </c>
      <c r="AM27" s="201">
        <v>145.63758389261744</v>
      </c>
      <c r="AN27" s="200">
        <v>145.1006711409396</v>
      </c>
      <c r="AO27" s="201">
        <v>244.69798657718121</v>
      </c>
      <c r="AP27" s="200"/>
      <c r="AQ27" s="200">
        <v>281.07382550335569</v>
      </c>
      <c r="AR27" s="201">
        <v>223.08724832214764</v>
      </c>
      <c r="AS27" s="200">
        <v>204.42953020134229</v>
      </c>
      <c r="AT27" s="201">
        <v>64.429530201342274</v>
      </c>
      <c r="AU27" s="200"/>
      <c r="AV27" s="200">
        <v>59.865771812080538</v>
      </c>
      <c r="AW27" s="201">
        <v>58.120805369127517</v>
      </c>
      <c r="AX27" s="200">
        <v>48.322147651006709</v>
      </c>
      <c r="AY27" s="201">
        <v>35.973154362416103</v>
      </c>
      <c r="AZ27" s="200"/>
      <c r="BA27" s="200">
        <v>19.19463087248322</v>
      </c>
      <c r="BB27" s="201">
        <v>15.436241610738255</v>
      </c>
      <c r="BC27" s="200">
        <v>13.020134228187919</v>
      </c>
      <c r="BD27" s="201">
        <v>11.6</v>
      </c>
      <c r="BE27" s="200"/>
      <c r="BF27" s="200">
        <v>15.2</v>
      </c>
      <c r="BG27" s="201">
        <v>16.3</v>
      </c>
      <c r="BH27" s="200">
        <v>15.7</v>
      </c>
      <c r="BI27" s="201">
        <v>10.5</v>
      </c>
      <c r="BJ27" s="200"/>
      <c r="BK27" s="200">
        <v>12.8</v>
      </c>
      <c r="BL27" s="201">
        <v>27.4</v>
      </c>
      <c r="BM27" s="200">
        <v>22.3</v>
      </c>
      <c r="BN27" s="201">
        <v>7.2</v>
      </c>
      <c r="BO27" s="200"/>
      <c r="BP27" s="200">
        <v>6.5</v>
      </c>
      <c r="BQ27" s="201">
        <v>7.3</v>
      </c>
      <c r="BR27" s="200">
        <v>4.9000000000000004</v>
      </c>
      <c r="BS27" s="201">
        <v>8.1999999999999993</v>
      </c>
      <c r="BT27" s="200"/>
      <c r="BU27" s="227">
        <f>5.8+5</f>
        <v>10.8</v>
      </c>
      <c r="BV27" s="201">
        <f>7.1+4.5</f>
        <v>11.6</v>
      </c>
      <c r="BW27" s="200">
        <f>6+4.7</f>
        <v>10.7</v>
      </c>
      <c r="BX27" s="201">
        <f>5.2+6</f>
        <v>11.2</v>
      </c>
      <c r="BZ27" s="227">
        <v>30.1</v>
      </c>
      <c r="CA27" s="201"/>
      <c r="CB27" s="200"/>
      <c r="CC27" s="201"/>
    </row>
    <row r="28" spans="1:81" s="104" customFormat="1" x14ac:dyDescent="0.2">
      <c r="A28" s="104" t="s">
        <v>63</v>
      </c>
      <c r="B28" s="151"/>
      <c r="C28" s="210">
        <v>251.27516778523488</v>
      </c>
      <c r="D28" s="211">
        <v>263.75838926174498</v>
      </c>
      <c r="E28" s="210">
        <v>255.57046979865771</v>
      </c>
      <c r="F28" s="211">
        <v>258.79194630872485</v>
      </c>
      <c r="G28" s="212"/>
      <c r="H28" s="210">
        <v>255.30201342281879</v>
      </c>
      <c r="I28" s="211">
        <v>300.13422818791946</v>
      </c>
      <c r="J28" s="210">
        <v>313.95973154362417</v>
      </c>
      <c r="K28" s="211">
        <v>285.36912751677852</v>
      </c>
      <c r="L28" s="212"/>
      <c r="M28" s="210">
        <v>317.18120805369125</v>
      </c>
      <c r="N28" s="211">
        <v>366.44295302013421</v>
      </c>
      <c r="O28" s="210">
        <v>409.93288590604027</v>
      </c>
      <c r="P28" s="211">
        <f>(1126+1668)/7.45</f>
        <v>375.03355704697987</v>
      </c>
      <c r="Q28" s="212"/>
      <c r="R28" s="210">
        <v>415.30201342281879</v>
      </c>
      <c r="S28" s="211">
        <v>418.25503355704694</v>
      </c>
      <c r="T28" s="210">
        <v>410.20134228187919</v>
      </c>
      <c r="U28" s="211">
        <f>(2998+109+139)/7.45</f>
        <v>435.70469798657717</v>
      </c>
      <c r="V28" s="212"/>
      <c r="W28" s="210">
        <v>441.07382550335569</v>
      </c>
      <c r="X28" s="211">
        <f>(117.2+984.1+1998.2)/7.45</f>
        <v>416.04026845637583</v>
      </c>
      <c r="Y28" s="210">
        <v>429.66442953020135</v>
      </c>
      <c r="Z28" s="211">
        <v>397.31543624161071</v>
      </c>
      <c r="AA28" s="210"/>
      <c r="AB28" s="210">
        <v>452.48322147651004</v>
      </c>
      <c r="AC28" s="211">
        <v>466.17449664429529</v>
      </c>
      <c r="AD28" s="210">
        <v>459.32885906040269</v>
      </c>
      <c r="AE28" s="211">
        <v>463.35570469798654</v>
      </c>
      <c r="AF28" s="210"/>
      <c r="AG28" s="210">
        <v>534.89932885906035</v>
      </c>
      <c r="AH28" s="211">
        <v>508.85906040268458</v>
      </c>
      <c r="AI28" s="210">
        <v>568.05369127516781</v>
      </c>
      <c r="AJ28" s="211">
        <v>537.44966442953023</v>
      </c>
      <c r="AK28" s="210"/>
      <c r="AL28" s="210">
        <v>564.29530201342277</v>
      </c>
      <c r="AM28" s="211">
        <v>578.92617449664431</v>
      </c>
      <c r="AN28" s="210">
        <v>524.42953020134223</v>
      </c>
      <c r="AO28" s="211">
        <v>559.86577181208054</v>
      </c>
      <c r="AP28" s="210"/>
      <c r="AQ28" s="210">
        <v>561.07382550335569</v>
      </c>
      <c r="AR28" s="211">
        <v>494.36241610738256</v>
      </c>
      <c r="AS28" s="210">
        <v>538.38926174496646</v>
      </c>
      <c r="AT28" s="211">
        <v>534.89932885906035</v>
      </c>
      <c r="AU28" s="210"/>
      <c r="AV28" s="210">
        <v>578.12080536912754</v>
      </c>
      <c r="AW28" s="211">
        <v>566.71140939597319</v>
      </c>
      <c r="AX28" s="210">
        <v>567.3825503355705</v>
      </c>
      <c r="AY28" s="211">
        <v>523.75838926174492</v>
      </c>
      <c r="AZ28" s="210"/>
      <c r="BA28" s="210">
        <v>665.36912751677846</v>
      </c>
      <c r="BB28" s="211">
        <v>672.34899328859058</v>
      </c>
      <c r="BC28" s="210">
        <v>601.47651006711408</v>
      </c>
      <c r="BD28" s="211">
        <v>601.1</v>
      </c>
      <c r="BE28" s="210"/>
      <c r="BF28" s="210">
        <v>607.29999999999995</v>
      </c>
      <c r="BG28" s="211">
        <v>643.79999999999995</v>
      </c>
      <c r="BH28" s="210">
        <f>568</f>
        <v>568</v>
      </c>
      <c r="BI28" s="211">
        <v>296.60000000000002</v>
      </c>
      <c r="BJ28" s="210"/>
      <c r="BK28" s="210">
        <v>632</v>
      </c>
      <c r="BL28" s="211">
        <v>605.4</v>
      </c>
      <c r="BM28" s="210">
        <f>561.1+28</f>
        <v>589.1</v>
      </c>
      <c r="BN28" s="211">
        <f>582.2+11.7+13.5</f>
        <v>607.40000000000009</v>
      </c>
      <c r="BO28" s="210"/>
      <c r="BP28" s="210">
        <f>538.7+15.1</f>
        <v>553.80000000000007</v>
      </c>
      <c r="BQ28" s="211">
        <f>591.4+14.4</f>
        <v>605.79999999999995</v>
      </c>
      <c r="BR28" s="210">
        <f>551.7+14.1</f>
        <v>565.80000000000007</v>
      </c>
      <c r="BS28" s="211">
        <f>558.3+0.8+13.2</f>
        <v>572.29999999999995</v>
      </c>
      <c r="BT28" s="210"/>
      <c r="BU28" s="210">
        <f>526.9+14.2</f>
        <v>541.1</v>
      </c>
      <c r="BV28" s="211">
        <f>580.4+16.8</f>
        <v>597.19999999999993</v>
      </c>
      <c r="BW28" s="210">
        <f>602.9+14.8</f>
        <v>617.69999999999993</v>
      </c>
      <c r="BX28" s="211">
        <f>286.3+139+186.3+1.9+20.9</f>
        <v>634.4</v>
      </c>
      <c r="BZ28" s="210">
        <f>581.7+16.6</f>
        <v>598.30000000000007</v>
      </c>
      <c r="CA28" s="211"/>
      <c r="CB28" s="210"/>
      <c r="CC28" s="211"/>
    </row>
    <row r="29" spans="1:81" s="104" customFormat="1" x14ac:dyDescent="0.2">
      <c r="A29" s="104" t="s">
        <v>141</v>
      </c>
      <c r="B29" s="151"/>
      <c r="C29" s="210"/>
      <c r="D29" s="211"/>
      <c r="E29" s="210"/>
      <c r="F29" s="211"/>
      <c r="G29" s="212"/>
      <c r="H29" s="210"/>
      <c r="I29" s="211"/>
      <c r="J29" s="210"/>
      <c r="K29" s="211"/>
      <c r="L29" s="212"/>
      <c r="M29" s="210"/>
      <c r="N29" s="211"/>
      <c r="O29" s="210"/>
      <c r="P29" s="211"/>
      <c r="Q29" s="212"/>
      <c r="R29" s="210"/>
      <c r="S29" s="211"/>
      <c r="T29" s="210"/>
      <c r="U29" s="211"/>
      <c r="V29" s="212"/>
      <c r="W29" s="210"/>
      <c r="X29" s="211"/>
      <c r="Y29" s="210"/>
      <c r="Z29" s="211"/>
      <c r="AA29" s="210"/>
      <c r="AB29" s="210"/>
      <c r="AC29" s="211"/>
      <c r="AD29" s="210"/>
      <c r="AE29" s="211"/>
      <c r="AF29" s="210"/>
      <c r="AG29" s="210"/>
      <c r="AH29" s="211"/>
      <c r="AI29" s="210"/>
      <c r="AJ29" s="211"/>
      <c r="AK29" s="210"/>
      <c r="AL29" s="210"/>
      <c r="AM29" s="211"/>
      <c r="AN29" s="210"/>
      <c r="AO29" s="211"/>
      <c r="AP29" s="210"/>
      <c r="AQ29" s="210"/>
      <c r="AR29" s="211"/>
      <c r="AS29" s="210"/>
      <c r="AT29" s="211"/>
      <c r="AU29" s="210"/>
      <c r="AV29" s="210"/>
      <c r="AW29" s="211"/>
      <c r="AX29" s="210"/>
      <c r="AY29" s="211"/>
      <c r="AZ29" s="210"/>
      <c r="BA29" s="210"/>
      <c r="BB29" s="211"/>
      <c r="BC29" s="210"/>
      <c r="BD29" s="211"/>
      <c r="BE29" s="210"/>
      <c r="BF29" s="210"/>
      <c r="BG29" s="211"/>
      <c r="BH29" s="210">
        <v>81.8</v>
      </c>
      <c r="BI29" s="211">
        <f>307.1+24.6</f>
        <v>331.70000000000005</v>
      </c>
      <c r="BJ29" s="210"/>
      <c r="BK29" s="210">
        <v>305.8</v>
      </c>
      <c r="BL29" s="211">
        <v>293.10000000000002</v>
      </c>
      <c r="BM29" s="210">
        <v>298</v>
      </c>
      <c r="BN29" s="211">
        <v>0</v>
      </c>
      <c r="BO29" s="210"/>
      <c r="BP29" s="210"/>
      <c r="BQ29" s="211"/>
      <c r="BR29" s="210"/>
      <c r="BS29" s="211"/>
      <c r="BT29" s="210"/>
      <c r="BU29" s="210"/>
      <c r="BV29" s="211"/>
      <c r="BW29" s="210"/>
      <c r="BX29" s="211"/>
      <c r="BZ29" s="210"/>
      <c r="CA29" s="211"/>
      <c r="CB29" s="210"/>
      <c r="CC29" s="211"/>
    </row>
    <row r="30" spans="1:81" s="100" customFormat="1" x14ac:dyDescent="0.2">
      <c r="A30" s="100" t="s">
        <v>64</v>
      </c>
      <c r="B30" s="101"/>
      <c r="C30" s="206">
        <f>SUM(C24:C28)</f>
        <v>794.89932885906035</v>
      </c>
      <c r="D30" s="207">
        <f>SUM(D24:D28)</f>
        <v>809.530201342282</v>
      </c>
      <c r="E30" s="206">
        <f>SUM(E24:E28)</f>
        <v>819.06040268456377</v>
      </c>
      <c r="F30" s="207">
        <f>SUM(F24:F28)</f>
        <v>829.1275167785235</v>
      </c>
      <c r="G30" s="208"/>
      <c r="H30" s="206">
        <f>SUM(H24:H28)</f>
        <v>866.71140939597308</v>
      </c>
      <c r="I30" s="207">
        <f>SUM(I24:I28)</f>
        <v>928.32214765100673</v>
      </c>
      <c r="J30" s="206">
        <f>SUM(J24:J28)</f>
        <v>924.83221476510062</v>
      </c>
      <c r="K30" s="207">
        <f>SUM(K24:K28)</f>
        <v>986.57718120805362</v>
      </c>
      <c r="L30" s="208"/>
      <c r="M30" s="206">
        <f>SUM(M24:M28)</f>
        <v>1072.4832214765099</v>
      </c>
      <c r="N30" s="207">
        <f>SUM(N24:N28)</f>
        <v>1152.7516778523488</v>
      </c>
      <c r="O30" s="206">
        <f>SUM(O24:O28)</f>
        <v>1229.6644295302012</v>
      </c>
      <c r="P30" s="207">
        <f>SUM(P24:P28)</f>
        <v>1221.3422818791946</v>
      </c>
      <c r="Q30" s="208"/>
      <c r="R30" s="206">
        <f>SUM(R24:R28)</f>
        <v>1295.9731543624162</v>
      </c>
      <c r="S30" s="207">
        <f>SUM(S24:S28)</f>
        <v>1373.2885906040267</v>
      </c>
      <c r="T30" s="206">
        <f>SUM(T24:T28)</f>
        <v>1383.7583892617449</v>
      </c>
      <c r="U30" s="207">
        <f>SUM(U24:U28)</f>
        <v>1333.5570469798656</v>
      </c>
      <c r="V30" s="208"/>
      <c r="W30" s="206">
        <f>SUM(W24:W28)</f>
        <v>1306.7114093959731</v>
      </c>
      <c r="X30" s="207">
        <f>SUM(X24:X28)</f>
        <v>1327.3691275167787</v>
      </c>
      <c r="Y30" s="206">
        <f>SUM(Y24:Y28)</f>
        <v>1354.7651006711408</v>
      </c>
      <c r="Z30" s="207">
        <f>SUM(Z24:Z28)</f>
        <v>1358.9261744966443</v>
      </c>
      <c r="AA30" s="206"/>
      <c r="AB30" s="206">
        <f>SUM(AB24:AB28)</f>
        <v>1498.1208053691275</v>
      </c>
      <c r="AC30" s="207">
        <f>SUM(AC24:AC28)</f>
        <v>1628.724832214765</v>
      </c>
      <c r="AD30" s="206">
        <f>SUM(AD24:AD28)</f>
        <v>1658.1208053691275</v>
      </c>
      <c r="AE30" s="207">
        <f>SUM(AE24:AE28)</f>
        <v>1685.3691275167785</v>
      </c>
      <c r="AF30" s="206"/>
      <c r="AG30" s="206">
        <f>SUM(AG24:AG28)</f>
        <v>1833.5570469798658</v>
      </c>
      <c r="AH30" s="207">
        <f>SUM(AH24:AH28)</f>
        <v>1816.1073825503354</v>
      </c>
      <c r="AI30" s="206">
        <f>SUM(AI24:AI28)</f>
        <v>1826.4429530201342</v>
      </c>
      <c r="AJ30" s="207">
        <f>SUM(AJ24:AJ28)</f>
        <v>1803.8926174496644</v>
      </c>
      <c r="AK30" s="206"/>
      <c r="AL30" s="206">
        <f>SUM(AL24:AL28)</f>
        <v>1848.4563758389261</v>
      </c>
      <c r="AM30" s="207">
        <f>SUM(AM24:AM28)</f>
        <v>1796.6442953020132</v>
      </c>
      <c r="AN30" s="206">
        <f>SUM(AN24:AN28)</f>
        <v>1772.8859060402683</v>
      </c>
      <c r="AO30" s="207">
        <f>SUM(AO24:AO28)</f>
        <v>1736.3758389261745</v>
      </c>
      <c r="AP30" s="206"/>
      <c r="AQ30" s="206">
        <f>SUM(AQ24:AQ28)</f>
        <v>1833.6912751677851</v>
      </c>
      <c r="AR30" s="207">
        <f>SUM(AR24:AR28)</f>
        <v>1791.275167785235</v>
      </c>
      <c r="AS30" s="206">
        <f>SUM(AS24:AS28)</f>
        <v>1816.6442953020135</v>
      </c>
      <c r="AT30" s="207">
        <f>SUM(AT24:AT28)</f>
        <v>1744.2416107382546</v>
      </c>
      <c r="AU30" s="206"/>
      <c r="AV30" s="206">
        <f>SUM(AV24:AV28)</f>
        <v>1763.489932885906</v>
      </c>
      <c r="AW30" s="207">
        <f>SUM(AW24:AW28)</f>
        <v>1751.8120805369126</v>
      </c>
      <c r="AX30" s="206">
        <f>SUM(AX24:AX28)</f>
        <v>1802.9530201342282</v>
      </c>
      <c r="AY30" s="207">
        <f>SUM(AY24:AY28)</f>
        <v>1656.1073825503356</v>
      </c>
      <c r="AZ30" s="206"/>
      <c r="BA30" s="206">
        <f>SUM(BA24:BA28)</f>
        <v>1851.4093959731545</v>
      </c>
      <c r="BB30" s="207">
        <f>SUM(BB24:BB28)</f>
        <v>1860.6711409395971</v>
      </c>
      <c r="BC30" s="206">
        <f>SUM(BC24:BC28)</f>
        <v>1735.8389261744967</v>
      </c>
      <c r="BD30" s="207">
        <f>SUM(BD24:BD28)</f>
        <v>1683.6</v>
      </c>
      <c r="BE30" s="206"/>
      <c r="BF30" s="206">
        <f>SUM(BF24:BF29)</f>
        <v>1736.4395973154362</v>
      </c>
      <c r="BG30" s="207">
        <f>SUM(BG24:BG29)</f>
        <v>1787.1999999999998</v>
      </c>
      <c r="BH30" s="206">
        <f>SUM(BH24:BH29)</f>
        <v>1728.6</v>
      </c>
      <c r="BI30" s="207">
        <f>SUM(BI24:BI29)</f>
        <v>1747.1000000000001</v>
      </c>
      <c r="BJ30" s="206"/>
      <c r="BK30" s="206">
        <f>SUM(BK24:BK29)</f>
        <v>2682.4000000000005</v>
      </c>
      <c r="BL30" s="207">
        <f>SUM(BL24:BL29)</f>
        <v>2808.9</v>
      </c>
      <c r="BM30" s="206">
        <f>SUM(BM24:BM29)</f>
        <v>2785.5</v>
      </c>
      <c r="BN30" s="207">
        <f>SUM(BN24:BN29)</f>
        <v>1904.6000000000001</v>
      </c>
      <c r="BO30" s="206"/>
      <c r="BP30" s="206">
        <f>SUM(BP24:BP29)</f>
        <v>1923.3000000000002</v>
      </c>
      <c r="BQ30" s="207">
        <f>SUM(BQ24:BQ29)</f>
        <v>1926.4</v>
      </c>
      <c r="BR30" s="206">
        <f>SUM(BR24:BR29)</f>
        <v>1938.0000000000005</v>
      </c>
      <c r="BS30" s="207">
        <f>SUM(BS24:BS29)</f>
        <v>1859.1999999999998</v>
      </c>
      <c r="BT30" s="206"/>
      <c r="BU30" s="206">
        <f>SUM(BU24:BU29)</f>
        <v>1867.8000000000002</v>
      </c>
      <c r="BV30" s="207">
        <f>SUM(BV24:BV29)</f>
        <v>1895.8999999999996</v>
      </c>
      <c r="BW30" s="206">
        <f>SUM(BW24:BW29)</f>
        <v>1886.2999999999997</v>
      </c>
      <c r="BX30" s="207">
        <f>SUM(BX24:BX29)</f>
        <v>1789.4</v>
      </c>
      <c r="BZ30" s="206">
        <f>SUM(BZ24:BZ29)</f>
        <v>1795.8000000000002</v>
      </c>
      <c r="CA30" s="207"/>
      <c r="CB30" s="206"/>
      <c r="CC30" s="207"/>
    </row>
    <row r="31" spans="1:81" x14ac:dyDescent="0.2">
      <c r="C31" s="210"/>
      <c r="D31" s="211"/>
      <c r="E31" s="210"/>
      <c r="F31" s="211"/>
      <c r="G31" s="202"/>
      <c r="H31" s="210"/>
      <c r="I31" s="211"/>
      <c r="J31" s="210"/>
      <c r="K31" s="211"/>
      <c r="L31" s="202"/>
      <c r="M31" s="210"/>
      <c r="N31" s="211"/>
      <c r="O31" s="210"/>
      <c r="P31" s="211"/>
      <c r="Q31" s="202"/>
      <c r="R31" s="210"/>
      <c r="S31" s="211"/>
      <c r="T31" s="210"/>
      <c r="U31" s="211"/>
      <c r="V31" s="202"/>
      <c r="W31" s="210"/>
      <c r="X31" s="211"/>
      <c r="Y31" s="210"/>
      <c r="Z31" s="211"/>
      <c r="AA31" s="200"/>
      <c r="AB31" s="210"/>
      <c r="AC31" s="211"/>
      <c r="AD31" s="210"/>
      <c r="AE31" s="211"/>
      <c r="AF31" s="200"/>
      <c r="AG31" s="210"/>
      <c r="AH31" s="211"/>
      <c r="AI31" s="210"/>
      <c r="AJ31" s="211"/>
      <c r="AK31" s="200"/>
      <c r="AL31" s="210"/>
      <c r="AM31" s="211"/>
      <c r="AN31" s="210"/>
      <c r="AO31" s="211"/>
      <c r="AP31" s="200"/>
      <c r="AQ31" s="210"/>
      <c r="AR31" s="211"/>
      <c r="AS31" s="210"/>
      <c r="AT31" s="211"/>
      <c r="AU31" s="200"/>
      <c r="AV31" s="210"/>
      <c r="AW31" s="211"/>
      <c r="AX31" s="210"/>
      <c r="AY31" s="211"/>
      <c r="AZ31" s="200"/>
      <c r="BA31" s="210"/>
      <c r="BB31" s="211"/>
      <c r="BC31" s="210"/>
      <c r="BD31" s="211"/>
      <c r="BE31" s="200"/>
      <c r="BF31" s="210"/>
      <c r="BG31" s="211"/>
      <c r="BH31" s="210"/>
      <c r="BI31" s="211"/>
      <c r="BJ31" s="200"/>
      <c r="BK31" s="210"/>
      <c r="BL31" s="211"/>
      <c r="BM31" s="210"/>
      <c r="BN31" s="211"/>
      <c r="BO31" s="200"/>
      <c r="BP31" s="210"/>
      <c r="BQ31" s="211"/>
      <c r="BR31" s="210"/>
      <c r="BS31" s="211"/>
      <c r="BT31" s="200"/>
      <c r="BU31" s="210"/>
      <c r="BV31" s="211"/>
      <c r="BW31" s="210"/>
      <c r="BX31" s="211"/>
      <c r="BZ31" s="210"/>
      <c r="CA31" s="211"/>
      <c r="CB31" s="210"/>
      <c r="CC31" s="211"/>
    </row>
    <row r="32" spans="1:81" x14ac:dyDescent="0.2">
      <c r="A32" s="105"/>
      <c r="B32" s="95"/>
      <c r="C32" s="217"/>
      <c r="D32" s="218"/>
      <c r="E32" s="217"/>
      <c r="F32" s="218"/>
      <c r="G32" s="219"/>
      <c r="H32" s="217"/>
      <c r="I32" s="218"/>
      <c r="J32" s="217"/>
      <c r="K32" s="218"/>
      <c r="L32" s="219"/>
      <c r="M32" s="220"/>
      <c r="N32" s="221"/>
      <c r="O32" s="220"/>
      <c r="P32" s="221"/>
      <c r="Q32" s="219"/>
      <c r="R32" s="219"/>
      <c r="S32" s="222"/>
      <c r="T32" s="219"/>
      <c r="U32" s="222"/>
      <c r="V32" s="219"/>
      <c r="W32" s="220"/>
      <c r="X32" s="221"/>
      <c r="Y32" s="220"/>
      <c r="Z32" s="221"/>
      <c r="AA32" s="200"/>
      <c r="AB32" s="220"/>
      <c r="AC32" s="221"/>
      <c r="AD32" s="220"/>
      <c r="AE32" s="221"/>
      <c r="AF32" s="200"/>
      <c r="AG32" s="220"/>
      <c r="AH32" s="221"/>
      <c r="AI32" s="220"/>
      <c r="AJ32" s="221"/>
      <c r="AK32" s="200"/>
      <c r="AL32" s="220"/>
      <c r="AM32" s="221"/>
      <c r="AN32" s="220"/>
      <c r="AO32" s="221"/>
      <c r="AP32" s="200"/>
      <c r="AQ32" s="220"/>
      <c r="AR32" s="221"/>
      <c r="AS32" s="220"/>
      <c r="AT32" s="221"/>
      <c r="AU32" s="200"/>
      <c r="AV32" s="220"/>
      <c r="AW32" s="221"/>
      <c r="AX32" s="220"/>
      <c r="AY32" s="221"/>
      <c r="AZ32" s="200"/>
      <c r="BA32" s="220"/>
      <c r="BB32" s="221"/>
      <c r="BC32" s="220"/>
      <c r="BD32" s="221"/>
      <c r="BE32" s="200"/>
      <c r="BF32" s="220"/>
      <c r="BG32" s="221"/>
      <c r="BH32" s="220"/>
      <c r="BI32" s="221"/>
      <c r="BJ32" s="200"/>
      <c r="BK32" s="220"/>
      <c r="BL32" s="221"/>
      <c r="BM32" s="220"/>
      <c r="BN32" s="221"/>
      <c r="BO32" s="200"/>
      <c r="BP32" s="220"/>
      <c r="BQ32" s="221"/>
      <c r="BR32" s="220"/>
      <c r="BS32" s="221"/>
      <c r="BT32" s="200"/>
      <c r="BU32" s="220"/>
      <c r="BV32" s="221"/>
      <c r="BW32" s="220"/>
      <c r="BX32" s="221"/>
      <c r="BZ32" s="220"/>
      <c r="CA32" s="221"/>
      <c r="CB32" s="220"/>
      <c r="CC32" s="221"/>
    </row>
    <row r="33" spans="1:81 16384:16384" s="108" customFormat="1" x14ac:dyDescent="0.2">
      <c r="A33" s="106" t="s">
        <v>65</v>
      </c>
      <c r="B33" s="107"/>
      <c r="C33" s="223"/>
      <c r="D33" s="224"/>
      <c r="E33" s="223"/>
      <c r="F33" s="224"/>
      <c r="G33" s="225"/>
      <c r="H33" s="223"/>
      <c r="I33" s="224"/>
      <c r="J33" s="223"/>
      <c r="K33" s="224"/>
      <c r="L33" s="225"/>
      <c r="M33" s="223"/>
      <c r="N33" s="224"/>
      <c r="O33" s="223"/>
      <c r="P33" s="224"/>
      <c r="Q33" s="225"/>
      <c r="R33" s="223"/>
      <c r="S33" s="224"/>
      <c r="T33" s="223"/>
      <c r="U33" s="224"/>
      <c r="V33" s="225"/>
      <c r="W33" s="223"/>
      <c r="X33" s="224"/>
      <c r="Y33" s="223"/>
      <c r="Z33" s="224"/>
      <c r="AA33" s="226"/>
      <c r="AB33" s="223"/>
      <c r="AC33" s="224"/>
      <c r="AD33" s="223"/>
      <c r="AE33" s="224"/>
      <c r="AF33" s="226"/>
      <c r="AG33" s="223"/>
      <c r="AH33" s="224"/>
      <c r="AI33" s="223"/>
      <c r="AJ33" s="224"/>
      <c r="AK33" s="226"/>
      <c r="AL33" s="223"/>
      <c r="AM33" s="224"/>
      <c r="AN33" s="223"/>
      <c r="AO33" s="224"/>
      <c r="AP33" s="226"/>
      <c r="AQ33" s="223"/>
      <c r="AR33" s="224"/>
      <c r="AS33" s="223"/>
      <c r="AT33" s="224"/>
      <c r="AU33" s="226"/>
      <c r="AV33" s="223"/>
      <c r="AW33" s="224"/>
      <c r="AX33" s="223"/>
      <c r="AY33" s="224"/>
      <c r="AZ33" s="226"/>
      <c r="BA33" s="223"/>
      <c r="BB33" s="224"/>
      <c r="BC33" s="223"/>
      <c r="BD33" s="224"/>
      <c r="BE33" s="226"/>
      <c r="BF33" s="223"/>
      <c r="BG33" s="224"/>
      <c r="BH33" s="223"/>
      <c r="BI33" s="224"/>
      <c r="BJ33" s="226"/>
      <c r="BK33" s="223"/>
      <c r="BL33" s="224"/>
      <c r="BM33" s="223"/>
      <c r="BN33" s="224"/>
      <c r="BO33" s="226"/>
      <c r="BP33" s="223"/>
      <c r="BQ33" s="224"/>
      <c r="BR33" s="223"/>
      <c r="BS33" s="224"/>
      <c r="BT33" s="226"/>
      <c r="BU33" s="223"/>
      <c r="BV33" s="224"/>
      <c r="BW33" s="223"/>
      <c r="BX33" s="224"/>
      <c r="BZ33" s="223"/>
      <c r="CA33" s="224"/>
      <c r="CB33" s="223"/>
      <c r="CC33" s="224"/>
    </row>
    <row r="34" spans="1:81 16384:16384" x14ac:dyDescent="0.2">
      <c r="C34" s="200"/>
      <c r="D34" s="201"/>
      <c r="E34" s="200"/>
      <c r="F34" s="201"/>
      <c r="G34" s="202"/>
      <c r="H34" s="200"/>
      <c r="I34" s="201"/>
      <c r="J34" s="200"/>
      <c r="K34" s="201"/>
      <c r="L34" s="202"/>
      <c r="M34" s="200"/>
      <c r="N34" s="201"/>
      <c r="O34" s="200"/>
      <c r="P34" s="201"/>
      <c r="Q34" s="202"/>
      <c r="R34" s="200"/>
      <c r="S34" s="201"/>
      <c r="T34" s="200"/>
      <c r="U34" s="201"/>
      <c r="V34" s="202"/>
      <c r="W34" s="200"/>
      <c r="X34" s="201"/>
      <c r="Y34" s="200"/>
      <c r="Z34" s="201"/>
      <c r="AA34" s="200"/>
      <c r="AB34" s="200"/>
      <c r="AC34" s="201"/>
      <c r="AD34" s="200"/>
      <c r="AE34" s="201"/>
      <c r="AF34" s="200"/>
      <c r="AG34" s="200"/>
      <c r="AH34" s="201"/>
      <c r="AI34" s="200"/>
      <c r="AJ34" s="201"/>
      <c r="AK34" s="200"/>
      <c r="AL34" s="200"/>
      <c r="AM34" s="201"/>
      <c r="AN34" s="200"/>
      <c r="AO34" s="201"/>
      <c r="AP34" s="200"/>
      <c r="AQ34" s="200"/>
      <c r="AR34" s="201"/>
      <c r="AS34" s="200"/>
      <c r="AT34" s="201"/>
      <c r="AU34" s="200"/>
      <c r="AV34" s="200"/>
      <c r="AW34" s="201"/>
      <c r="AX34" s="200"/>
      <c r="AY34" s="201"/>
      <c r="AZ34" s="200"/>
      <c r="BA34" s="200"/>
      <c r="BB34" s="201"/>
      <c r="BC34" s="200"/>
      <c r="BD34" s="201"/>
      <c r="BE34" s="200"/>
      <c r="BF34" s="200"/>
      <c r="BG34" s="201"/>
      <c r="BH34" s="200"/>
      <c r="BI34" s="201"/>
      <c r="BJ34" s="200"/>
      <c r="BK34" s="200"/>
      <c r="BL34" s="201"/>
      <c r="BM34" s="200"/>
      <c r="BN34" s="201"/>
      <c r="BO34" s="200"/>
      <c r="BP34" s="200"/>
      <c r="BQ34" s="201"/>
      <c r="BR34" s="200"/>
      <c r="BS34" s="201"/>
      <c r="BT34" s="200"/>
      <c r="BU34" s="200"/>
      <c r="BV34" s="201"/>
      <c r="BW34" s="200"/>
      <c r="BX34" s="201"/>
      <c r="BZ34" s="200"/>
      <c r="CA34" s="201"/>
      <c r="CB34" s="200"/>
      <c r="CC34" s="201"/>
    </row>
    <row r="35" spans="1:81 16384:16384" x14ac:dyDescent="0.2">
      <c r="A35" s="15" t="s">
        <v>44</v>
      </c>
      <c r="C35" s="200">
        <v>369.1275167785235</v>
      </c>
      <c r="D35" s="201">
        <f>+C47</f>
        <v>375.83892617449663</v>
      </c>
      <c r="E35" s="200">
        <f>+D47</f>
        <v>370.73825503355704</v>
      </c>
      <c r="F35" s="201">
        <f>+E47</f>
        <v>353.82550335570471</v>
      </c>
      <c r="G35" s="202"/>
      <c r="H35" s="200">
        <f>F47</f>
        <v>367.11409395973152</v>
      </c>
      <c r="I35" s="201">
        <f>H47</f>
        <v>372.48322147651004</v>
      </c>
      <c r="J35" s="200">
        <f>I47</f>
        <v>348.5906040268456</v>
      </c>
      <c r="K35" s="201">
        <f>J47</f>
        <v>359.32885906040264</v>
      </c>
      <c r="L35" s="202"/>
      <c r="M35" s="200">
        <f>K47</f>
        <v>376.6442953020134</v>
      </c>
      <c r="N35" s="201">
        <f>+M47</f>
        <v>390.20134228187914</v>
      </c>
      <c r="O35" s="200">
        <f>+N47</f>
        <v>385.50335570469792</v>
      </c>
      <c r="P35" s="201">
        <f>+O47</f>
        <v>401.2080536912751</v>
      </c>
      <c r="Q35" s="202"/>
      <c r="R35" s="200">
        <f>+P47</f>
        <v>440.67114093959725</v>
      </c>
      <c r="S35" s="201">
        <f>+R47</f>
        <v>453.15436241610735</v>
      </c>
      <c r="T35" s="200">
        <f>+S47</f>
        <v>455.97315436241604</v>
      </c>
      <c r="U35" s="201">
        <f>+T47</f>
        <v>489.12751677852344</v>
      </c>
      <c r="V35" s="202"/>
      <c r="W35" s="200">
        <f>+U47</f>
        <v>465.06040268456371</v>
      </c>
      <c r="X35" s="201">
        <f>+W47</f>
        <v>467.47651006711402</v>
      </c>
      <c r="Y35" s="200">
        <f>+X47</f>
        <v>475.39597315436237</v>
      </c>
      <c r="Z35" s="201">
        <f>+Y47</f>
        <v>480.3624161073825</v>
      </c>
      <c r="AA35" s="200"/>
      <c r="AB35" s="200">
        <f>+Z47</f>
        <v>501.97315436241604</v>
      </c>
      <c r="AC35" s="201">
        <f>+AB47</f>
        <v>514.32214765100662</v>
      </c>
      <c r="AD35" s="200">
        <f>+AC47</f>
        <v>543.98657718120796</v>
      </c>
      <c r="AE35" s="201">
        <f>+AD47</f>
        <v>536.73825503355692</v>
      </c>
      <c r="AF35" s="200"/>
      <c r="AG35" s="200">
        <f>+AE47</f>
        <v>551.9060402684562</v>
      </c>
      <c r="AH35" s="201">
        <f>+AG47</f>
        <v>536.0671140939595</v>
      </c>
      <c r="AI35" s="200">
        <f>+AH47</f>
        <v>535.3959731543622</v>
      </c>
      <c r="AJ35" s="201">
        <f>+AI47</f>
        <v>537.67785234899316</v>
      </c>
      <c r="AK35" s="200"/>
      <c r="AL35" s="200">
        <f>+AJ47</f>
        <v>545.73154362416096</v>
      </c>
      <c r="AM35" s="201">
        <f>+AL47</f>
        <v>553.24832214765081</v>
      </c>
      <c r="AN35" s="200">
        <f>+AM47</f>
        <v>745.99999999999977</v>
      </c>
      <c r="AO35" s="201">
        <f>+AN47</f>
        <v>759.28859060402669</v>
      </c>
      <c r="AP35" s="200"/>
      <c r="AQ35" s="227">
        <f>+AO47</f>
        <v>770.02684563758373</v>
      </c>
      <c r="AR35" s="201">
        <f>+AQ47</f>
        <v>748.81879194630847</v>
      </c>
      <c r="AS35" s="200">
        <f>+AR47</f>
        <v>752.97986577181177</v>
      </c>
      <c r="AT35" s="201">
        <f>+AS47</f>
        <v>754.05369127516747</v>
      </c>
      <c r="AU35" s="200"/>
      <c r="AV35" s="227">
        <f>+AT47</f>
        <v>761.57046979865731</v>
      </c>
      <c r="AW35" s="201">
        <f>+AV47</f>
        <v>752.44295302013381</v>
      </c>
      <c r="AX35" s="200">
        <f>+AW47</f>
        <v>763.85234899328816</v>
      </c>
      <c r="AY35" s="201">
        <f>+AX47</f>
        <v>794.45637583892574</v>
      </c>
      <c r="AZ35" s="200"/>
      <c r="BA35" s="227">
        <f>+AY47</f>
        <v>801.9731543624157</v>
      </c>
      <c r="BB35" s="201">
        <f>+BA47</f>
        <v>847.87919463087201</v>
      </c>
      <c r="BC35" s="200">
        <f>+BB47</f>
        <v>803.44966442952966</v>
      </c>
      <c r="BD35" s="201">
        <f>+BC47</f>
        <v>799.69127516778474</v>
      </c>
      <c r="BE35" s="200"/>
      <c r="BF35" s="227">
        <f>+BD47</f>
        <v>809.45127516778484</v>
      </c>
      <c r="BG35" s="201">
        <f>+BF47</f>
        <v>802.95227516778493</v>
      </c>
      <c r="BH35" s="200">
        <f>+BG47</f>
        <v>801.65227516778498</v>
      </c>
      <c r="BI35" s="201">
        <f>+BH47</f>
        <v>760.15227516778498</v>
      </c>
      <c r="BJ35" s="200"/>
      <c r="BK35" s="227">
        <f>+BI47</f>
        <v>951.35227516778491</v>
      </c>
      <c r="BL35" s="201">
        <f>+BK47</f>
        <v>971.45227516778493</v>
      </c>
      <c r="BM35" s="200">
        <f>+BL47</f>
        <v>982.15227516778498</v>
      </c>
      <c r="BN35" s="201">
        <f>+BM47</f>
        <v>993.252275167785</v>
      </c>
      <c r="BO35" s="200"/>
      <c r="BP35" s="227">
        <f>+BN47</f>
        <v>816.25227516778523</v>
      </c>
      <c r="BQ35" s="201">
        <f>+BP47</f>
        <v>774.85227516778525</v>
      </c>
      <c r="BR35" s="200">
        <f>+BQ47</f>
        <v>767.15227516778532</v>
      </c>
      <c r="BS35" s="201">
        <f>+BR47</f>
        <v>924.45227516778527</v>
      </c>
      <c r="BT35" s="200"/>
      <c r="BU35" s="227">
        <f>+BS47</f>
        <v>895.55227516778518</v>
      </c>
      <c r="BV35" s="201">
        <f>+BU47</f>
        <v>868.15227516778521</v>
      </c>
      <c r="BW35" s="200">
        <f>+BV47</f>
        <v>844.05227516778518</v>
      </c>
      <c r="BX35" s="201">
        <f>+BW47</f>
        <v>806.25227516778511</v>
      </c>
      <c r="BZ35" s="227">
        <f>+BX47</f>
        <v>803.75227516778511</v>
      </c>
      <c r="CA35" s="201"/>
      <c r="CB35" s="200"/>
      <c r="CC35" s="201"/>
    </row>
    <row r="36" spans="1:81 16384:16384" s="98" customFormat="1" x14ac:dyDescent="0.2">
      <c r="A36" s="98" t="s">
        <v>26</v>
      </c>
      <c r="B36" s="99"/>
      <c r="C36" s="203"/>
      <c r="D36" s="204">
        <v>0</v>
      </c>
      <c r="E36" s="203">
        <v>0</v>
      </c>
      <c r="F36" s="204">
        <v>0</v>
      </c>
      <c r="G36" s="205"/>
      <c r="H36" s="203">
        <v>0</v>
      </c>
      <c r="I36" s="204">
        <v>0</v>
      </c>
      <c r="J36" s="203">
        <v>0</v>
      </c>
      <c r="K36" s="204">
        <v>0</v>
      </c>
      <c r="L36" s="205"/>
      <c r="M36" s="203">
        <v>0</v>
      </c>
      <c r="N36" s="204">
        <v>0</v>
      </c>
      <c r="O36" s="203">
        <v>0</v>
      </c>
      <c r="P36" s="204">
        <v>0</v>
      </c>
      <c r="Q36" s="205"/>
      <c r="R36" s="203">
        <v>0</v>
      </c>
      <c r="S36" s="204">
        <v>0</v>
      </c>
      <c r="T36" s="203">
        <v>0</v>
      </c>
      <c r="U36" s="204">
        <v>0</v>
      </c>
      <c r="V36" s="205"/>
      <c r="W36" s="203">
        <v>0</v>
      </c>
      <c r="X36" s="204">
        <v>0</v>
      </c>
      <c r="Y36" s="203">
        <v>0</v>
      </c>
      <c r="Z36" s="204">
        <v>0</v>
      </c>
      <c r="AA36" s="203"/>
      <c r="AB36" s="203">
        <v>0</v>
      </c>
      <c r="AC36" s="204">
        <v>0</v>
      </c>
      <c r="AD36" s="203">
        <v>0</v>
      </c>
      <c r="AE36" s="204">
        <v>0</v>
      </c>
      <c r="AF36" s="203"/>
      <c r="AG36" s="203">
        <v>0</v>
      </c>
      <c r="AH36" s="204">
        <v>0</v>
      </c>
      <c r="AI36" s="203">
        <v>0</v>
      </c>
      <c r="AJ36" s="204">
        <v>0</v>
      </c>
      <c r="AK36" s="203"/>
      <c r="AL36" s="203">
        <v>0</v>
      </c>
      <c r="AM36" s="204">
        <v>0</v>
      </c>
      <c r="AN36" s="203">
        <v>0</v>
      </c>
      <c r="AO36" s="204">
        <v>0</v>
      </c>
      <c r="AP36" s="203"/>
      <c r="AQ36" s="228">
        <v>0</v>
      </c>
      <c r="AR36" s="204">
        <v>0</v>
      </c>
      <c r="AS36" s="203">
        <v>0</v>
      </c>
      <c r="AT36" s="204">
        <v>0</v>
      </c>
      <c r="AU36" s="203"/>
      <c r="AV36" s="228">
        <v>0</v>
      </c>
      <c r="AW36" s="204">
        <v>0</v>
      </c>
      <c r="AX36" s="203">
        <v>0</v>
      </c>
      <c r="AY36" s="204">
        <v>0</v>
      </c>
      <c r="AZ36" s="203"/>
      <c r="BA36" s="228">
        <v>0</v>
      </c>
      <c r="BB36" s="204">
        <v>0</v>
      </c>
      <c r="BC36" s="203">
        <v>0</v>
      </c>
      <c r="BD36" s="204">
        <v>0</v>
      </c>
      <c r="BE36" s="203"/>
      <c r="BF36" s="228">
        <v>0</v>
      </c>
      <c r="BG36" s="204">
        <v>0</v>
      </c>
      <c r="BH36" s="203">
        <v>0</v>
      </c>
      <c r="BI36" s="204">
        <v>0</v>
      </c>
      <c r="BJ36" s="203"/>
      <c r="BK36" s="228">
        <v>0</v>
      </c>
      <c r="BL36" s="204">
        <v>0</v>
      </c>
      <c r="BM36" s="203">
        <v>0</v>
      </c>
      <c r="BN36" s="204">
        <v>0</v>
      </c>
      <c r="BO36" s="203"/>
      <c r="BP36" s="228">
        <v>0</v>
      </c>
      <c r="BQ36" s="204">
        <v>0</v>
      </c>
      <c r="BR36" s="203">
        <v>0</v>
      </c>
      <c r="BS36" s="204">
        <v>0</v>
      </c>
      <c r="BT36" s="203"/>
      <c r="BU36" s="228">
        <v>0</v>
      </c>
      <c r="BV36" s="204">
        <v>0</v>
      </c>
      <c r="BW36" s="203">
        <v>0</v>
      </c>
      <c r="BX36" s="204"/>
      <c r="BZ36" s="228">
        <v>0</v>
      </c>
      <c r="CA36" s="204"/>
      <c r="CB36" s="203"/>
      <c r="CC36" s="204"/>
    </row>
    <row r="37" spans="1:81 16384:16384" x14ac:dyDescent="0.2">
      <c r="A37" s="15" t="s">
        <v>103</v>
      </c>
      <c r="C37" s="200">
        <f>SUM(C35:C36)</f>
        <v>369.1275167785235</v>
      </c>
      <c r="D37" s="201">
        <f>SUM(D35:D36)</f>
        <v>375.83892617449663</v>
      </c>
      <c r="E37" s="200">
        <f>SUM(E35:E36)</f>
        <v>370.73825503355704</v>
      </c>
      <c r="F37" s="201">
        <f>SUM(F35:F36)</f>
        <v>353.82550335570471</v>
      </c>
      <c r="G37" s="202"/>
      <c r="H37" s="200">
        <f>SUM(H35:H36)</f>
        <v>367.11409395973152</v>
      </c>
      <c r="I37" s="201">
        <f>SUM(I35:I36)</f>
        <v>372.48322147651004</v>
      </c>
      <c r="J37" s="200">
        <f>SUM(J35:J36)</f>
        <v>348.5906040268456</v>
      </c>
      <c r="K37" s="201">
        <f>SUM(K35:K36)</f>
        <v>359.32885906040264</v>
      </c>
      <c r="L37" s="202"/>
      <c r="M37" s="200">
        <f>SUM(M35:M36)</f>
        <v>376.6442953020134</v>
      </c>
      <c r="N37" s="201">
        <f>SUM(N35:N36)</f>
        <v>390.20134228187914</v>
      </c>
      <c r="O37" s="200">
        <f>SUM(O35:O36)</f>
        <v>385.50335570469792</v>
      </c>
      <c r="P37" s="201">
        <f>SUM(P35:P36)</f>
        <v>401.2080536912751</v>
      </c>
      <c r="Q37" s="202"/>
      <c r="R37" s="200">
        <f>SUM(R35:R36)</f>
        <v>440.67114093959725</v>
      </c>
      <c r="S37" s="201">
        <f>SUM(S35:S36)</f>
        <v>453.15436241610735</v>
      </c>
      <c r="T37" s="200">
        <f>SUM(T35:T36)</f>
        <v>455.97315436241604</v>
      </c>
      <c r="U37" s="201">
        <f>SUM(U35:U36)</f>
        <v>489.12751677852344</v>
      </c>
      <c r="V37" s="202"/>
      <c r="W37" s="200">
        <f>SUM(W35:W36)</f>
        <v>465.06040268456371</v>
      </c>
      <c r="X37" s="201">
        <f>SUM(X35:X36)</f>
        <v>467.47651006711402</v>
      </c>
      <c r="Y37" s="200">
        <f>SUM(Y35:Y36)</f>
        <v>475.39597315436237</v>
      </c>
      <c r="Z37" s="201">
        <f>SUM(Z35:Z36)</f>
        <v>480.3624161073825</v>
      </c>
      <c r="AA37" s="200"/>
      <c r="AB37" s="200">
        <f>SUM(AB35:AB36)</f>
        <v>501.97315436241604</v>
      </c>
      <c r="AC37" s="201">
        <f>SUM(AC35:AC36)</f>
        <v>514.32214765100662</v>
      </c>
      <c r="AD37" s="200">
        <f>SUM(AD35:AD36)</f>
        <v>543.98657718120796</v>
      </c>
      <c r="AE37" s="201">
        <f>SUM(AE35:AE36)</f>
        <v>536.73825503355692</v>
      </c>
      <c r="AF37" s="200"/>
      <c r="AG37" s="200">
        <f>SUM(AG35:AG36)</f>
        <v>551.9060402684562</v>
      </c>
      <c r="AH37" s="201">
        <f>SUM(AH35:AH36)</f>
        <v>536.0671140939595</v>
      </c>
      <c r="AI37" s="200">
        <f>SUM(AI35:AI36)</f>
        <v>535.3959731543622</v>
      </c>
      <c r="AJ37" s="201">
        <f>SUM(AJ35:AJ36)</f>
        <v>537.67785234899316</v>
      </c>
      <c r="AK37" s="200"/>
      <c r="AL37" s="200">
        <f>SUM(AL35:AL36)</f>
        <v>545.73154362416096</v>
      </c>
      <c r="AM37" s="201">
        <f>SUM(AM35:AM36)</f>
        <v>553.24832214765081</v>
      </c>
      <c r="AN37" s="200">
        <f>SUM(AN35:AN36)</f>
        <v>745.99999999999977</v>
      </c>
      <c r="AO37" s="201">
        <f>SUM(AO35:AO36)</f>
        <v>759.28859060402669</v>
      </c>
      <c r="AP37" s="200"/>
      <c r="AQ37" s="227">
        <f>SUM(AQ35:AQ36)</f>
        <v>770.02684563758373</v>
      </c>
      <c r="AR37" s="201">
        <f>SUM(AR35:AR36)</f>
        <v>748.81879194630847</v>
      </c>
      <c r="AS37" s="227">
        <f>SUM(AS35:AS36)</f>
        <v>752.97986577181177</v>
      </c>
      <c r="AT37" s="201">
        <f>SUM(AT35:AT36)</f>
        <v>754.05369127516747</v>
      </c>
      <c r="AU37" s="200"/>
      <c r="AV37" s="227">
        <f>SUM(AV35:AV36)</f>
        <v>761.57046979865731</v>
      </c>
      <c r="AW37" s="201">
        <f>SUM(AW35:AW36)</f>
        <v>752.44295302013381</v>
      </c>
      <c r="AX37" s="227">
        <f>SUM(AX35:AX36)</f>
        <v>763.85234899328816</v>
      </c>
      <c r="AY37" s="201">
        <f>SUM(AY35:AY36)</f>
        <v>794.45637583892574</v>
      </c>
      <c r="AZ37" s="200"/>
      <c r="BA37" s="227">
        <f>SUM(BA35:BA36)</f>
        <v>801.9731543624157</v>
      </c>
      <c r="BB37" s="201">
        <f>+BB36+BB35</f>
        <v>847.87919463087201</v>
      </c>
      <c r="BC37" s="227">
        <f>SUM(BC35:BC36)</f>
        <v>803.44966442952966</v>
      </c>
      <c r="BD37" s="201">
        <f>SUM(BD35:BD36)</f>
        <v>799.69127516778474</v>
      </c>
      <c r="BE37" s="200"/>
      <c r="BF37" s="227">
        <f>SUM(BF35:BF36)</f>
        <v>809.45127516778484</v>
      </c>
      <c r="BG37" s="201">
        <f>SUM(BG35:BG36)</f>
        <v>802.95227516778493</v>
      </c>
      <c r="BH37" s="227">
        <f>SUM(BH35:BH36)</f>
        <v>801.65227516778498</v>
      </c>
      <c r="BI37" s="201">
        <f>SUM(BI35:BI36)</f>
        <v>760.15227516778498</v>
      </c>
      <c r="BJ37" s="200"/>
      <c r="BK37" s="227">
        <f>SUM(BK35:BK36)</f>
        <v>951.35227516778491</v>
      </c>
      <c r="BL37" s="201">
        <f>SUM(BL35:BL36)</f>
        <v>971.45227516778493</v>
      </c>
      <c r="BM37" s="227">
        <f>SUM(BM35:BM36)</f>
        <v>982.15227516778498</v>
      </c>
      <c r="BN37" s="201">
        <f>SUM(BN35:BN36)</f>
        <v>993.252275167785</v>
      </c>
      <c r="BO37" s="200"/>
      <c r="BP37" s="227">
        <f>SUM(BP35:BP36)</f>
        <v>816.25227516778523</v>
      </c>
      <c r="BQ37" s="201">
        <f>SUM(BQ35:BQ36)</f>
        <v>774.85227516778525</v>
      </c>
      <c r="BR37" s="227">
        <f>SUM(BR35:BR36)</f>
        <v>767.15227516778532</v>
      </c>
      <c r="BS37" s="201">
        <f>SUM(BS35:BS36)</f>
        <v>924.45227516778527</v>
      </c>
      <c r="BT37" s="200"/>
      <c r="BU37" s="227">
        <f>SUM(BU35:BU36)</f>
        <v>895.55227516778518</v>
      </c>
      <c r="BV37" s="201">
        <f>SUM(BV35:BV36)</f>
        <v>868.15227516778521</v>
      </c>
      <c r="BW37" s="227">
        <f>SUM(BW35:BW36)</f>
        <v>844.05227516778518</v>
      </c>
      <c r="BX37" s="201">
        <f>SUM(BX35:BX36)</f>
        <v>806.25227516778511</v>
      </c>
      <c r="BZ37" s="227">
        <f>SUM(BZ35:BZ36)</f>
        <v>803.75227516778511</v>
      </c>
      <c r="CA37" s="201"/>
      <c r="CB37" s="227"/>
      <c r="CC37" s="201"/>
    </row>
    <row r="38" spans="1:81 16384:16384" x14ac:dyDescent="0.2">
      <c r="A38" s="15" t="s">
        <v>66</v>
      </c>
      <c r="C38" s="200">
        <v>7.1140939597315436</v>
      </c>
      <c r="D38" s="201">
        <v>14.093959731543624</v>
      </c>
      <c r="E38" s="200">
        <v>15.70469798657718</v>
      </c>
      <c r="F38" s="201">
        <v>11.543624161073826</v>
      </c>
      <c r="G38" s="202"/>
      <c r="H38" s="200">
        <v>11.409395973154362</v>
      </c>
      <c r="I38" s="201">
        <v>30.604026845637584</v>
      </c>
      <c r="J38" s="200">
        <v>19.597315436241612</v>
      </c>
      <c r="K38" s="201">
        <v>19.328859060402685</v>
      </c>
      <c r="L38" s="202"/>
      <c r="M38" s="200">
        <v>16.107382550335569</v>
      </c>
      <c r="N38" s="201">
        <v>30.067114093959731</v>
      </c>
      <c r="O38" s="200">
        <v>22.416107382550337</v>
      </c>
      <c r="P38" s="201">
        <v>41.476510067114091</v>
      </c>
      <c r="Q38" s="202"/>
      <c r="R38" s="200">
        <v>18.523489932885905</v>
      </c>
      <c r="S38" s="201">
        <v>31.140939597315434</v>
      </c>
      <c r="T38" s="200">
        <v>18.65771812080537</v>
      </c>
      <c r="U38" s="201">
        <v>-14.093959731543624</v>
      </c>
      <c r="V38" s="202"/>
      <c r="W38" s="200">
        <v>0</v>
      </c>
      <c r="X38" s="201">
        <v>12.617449664429531</v>
      </c>
      <c r="Y38" s="200">
        <v>9.5302013422818792</v>
      </c>
      <c r="Z38" s="201">
        <v>9.7986577181208059</v>
      </c>
      <c r="AA38" s="200"/>
      <c r="AB38" s="200">
        <v>8.724832214765101</v>
      </c>
      <c r="AC38" s="201">
        <v>13.020134228187919</v>
      </c>
      <c r="AD38" s="200">
        <v>10.738255033557047</v>
      </c>
      <c r="AE38" s="201">
        <v>3.7583892617449663</v>
      </c>
      <c r="AF38" s="200"/>
      <c r="AG38" s="200">
        <f>(+' Financial Highlights'!AM19)</f>
        <v>6.8456375838926187</v>
      </c>
      <c r="AH38" s="201">
        <f>(+' Financial Highlights'!AN19)</f>
        <v>4.0268456375838939</v>
      </c>
      <c r="AI38" s="200">
        <f>(+' Financial Highlights'!AO19)</f>
        <v>5.7718120805369111</v>
      </c>
      <c r="AJ38" s="201">
        <f>(+' Financial Highlights'!AP19)</f>
        <v>0.40268456375839023</v>
      </c>
      <c r="AK38" s="200"/>
      <c r="AL38" s="200">
        <v>4.1610738255033555</v>
      </c>
      <c r="AM38" s="201">
        <f>+' Financial Highlights'!AT19</f>
        <v>193.15436241610735</v>
      </c>
      <c r="AN38" s="200">
        <f>+' Financial Highlights'!AU19</f>
        <v>4.9664429530201355</v>
      </c>
      <c r="AO38" s="201">
        <f>+' Financial Highlights'!AV19</f>
        <v>13.288590604026844</v>
      </c>
      <c r="AP38" s="200"/>
      <c r="AQ38" s="227">
        <v>3.3557046979865772</v>
      </c>
      <c r="AR38" s="201">
        <v>10.201342281879194</v>
      </c>
      <c r="AS38" s="200">
        <v>7.1140939597315436</v>
      </c>
      <c r="AT38" s="201">
        <v>13.288590604026846</v>
      </c>
      <c r="AU38" s="200"/>
      <c r="AV38" s="227">
        <f>+' Financial Highlights'!BE19</f>
        <v>11.677852348993287</v>
      </c>
      <c r="AW38" s="201">
        <f>+' Financial Highlights'!BF19</f>
        <v>6.308724832214768</v>
      </c>
      <c r="AX38" s="227">
        <f>+' Financial Highlights'!BG19</f>
        <v>8.0536912751677843</v>
      </c>
      <c r="AY38" s="201">
        <f>+' Financial Highlights'!BH19</f>
        <v>11.543624161073826</v>
      </c>
      <c r="AZ38" s="200"/>
      <c r="BA38" s="227">
        <f>+' Financial Highlights'!BK19</f>
        <v>12.214765100671148</v>
      </c>
      <c r="BB38" s="201">
        <f>+' Financial Highlights'!BL19</f>
        <v>-27.651006711409394</v>
      </c>
      <c r="BC38" s="227">
        <f>+' Financial Highlights'!BM19</f>
        <v>9.664429530201339</v>
      </c>
      <c r="BD38" s="201">
        <f>+' Financial Highlights'!BN19</f>
        <v>6.9599999999999955</v>
      </c>
      <c r="BE38" s="200"/>
      <c r="BF38" s="227">
        <f>+' Financial Highlights'!BQ19</f>
        <v>10.600999999999997</v>
      </c>
      <c r="BG38" s="201">
        <f>+' Financial Highlights'!BR19</f>
        <v>20.2</v>
      </c>
      <c r="BH38" s="227">
        <f>+' Financial Highlights'!BS19</f>
        <v>-24.799999999999997</v>
      </c>
      <c r="BI38" s="201">
        <f>+' Financial Highlights'!BT19</f>
        <v>6.0999999999999961</v>
      </c>
      <c r="BJ38" s="227"/>
      <c r="BK38" s="227">
        <f>+' Financial Highlights'!BW19</f>
        <v>12.600000000000001</v>
      </c>
      <c r="BL38" s="201">
        <f>+' Financial Highlights'!BX19</f>
        <v>32.5</v>
      </c>
      <c r="BM38" s="227">
        <f>+' Financial Highlights'!BY19</f>
        <v>17.600000000000005</v>
      </c>
      <c r="BN38" s="201">
        <f>+' Financial Highlights'!BZ19</f>
        <v>866.1</v>
      </c>
      <c r="BO38" s="200"/>
      <c r="BP38" s="227">
        <f>+' Financial Highlights'!CC19</f>
        <v>-4.9999999999999973</v>
      </c>
      <c r="BQ38" s="201">
        <v>1.7</v>
      </c>
      <c r="BR38" s="227">
        <v>-2.8</v>
      </c>
      <c r="BS38" s="201">
        <v>-40.200000000000003</v>
      </c>
      <c r="BT38" s="200"/>
      <c r="BU38" s="227">
        <f>+' Financial Highlights'!CI19</f>
        <v>-19.000000000000004</v>
      </c>
      <c r="BV38" s="201">
        <f>+' Financial Highlights'!CJ19</f>
        <v>-15.099999999999996</v>
      </c>
      <c r="BW38" s="227">
        <f>+' Financial Highlights'!CK19</f>
        <v>-19.2</v>
      </c>
      <c r="BX38" s="201">
        <f>+' Financial Highlights'!CL19</f>
        <v>-22.700000000000003</v>
      </c>
      <c r="BZ38" s="227">
        <f>+' Financial Highlights'!CO19</f>
        <v>-20.6</v>
      </c>
      <c r="CA38" s="201"/>
      <c r="CB38" s="227"/>
      <c r="CC38" s="201"/>
    </row>
    <row r="39" spans="1:81 16384:16384" x14ac:dyDescent="0.2">
      <c r="A39" s="15" t="s">
        <v>81</v>
      </c>
      <c r="C39" s="200">
        <v>0</v>
      </c>
      <c r="D39" s="201">
        <v>0</v>
      </c>
      <c r="E39" s="200">
        <v>0</v>
      </c>
      <c r="F39" s="201">
        <v>0</v>
      </c>
      <c r="G39" s="202"/>
      <c r="H39" s="200"/>
      <c r="I39" s="201"/>
      <c r="J39" s="200"/>
      <c r="K39" s="201"/>
      <c r="L39" s="202"/>
      <c r="M39" s="200"/>
      <c r="N39" s="201"/>
      <c r="O39" s="200"/>
      <c r="P39" s="201"/>
      <c r="Q39" s="202"/>
      <c r="R39" s="200"/>
      <c r="S39" s="201"/>
      <c r="T39" s="200"/>
      <c r="U39" s="201"/>
      <c r="V39" s="202"/>
      <c r="W39" s="200"/>
      <c r="X39" s="201"/>
      <c r="Y39" s="200"/>
      <c r="Z39" s="201"/>
      <c r="AA39" s="200"/>
      <c r="AB39" s="200"/>
      <c r="AC39" s="201"/>
      <c r="AD39" s="200"/>
      <c r="AE39" s="201"/>
      <c r="AF39" s="200"/>
      <c r="AG39" s="200"/>
      <c r="AH39" s="201"/>
      <c r="AI39" s="200"/>
      <c r="AJ39" s="201"/>
      <c r="AK39" s="200"/>
      <c r="AL39" s="200"/>
      <c r="AM39" s="201"/>
      <c r="AN39" s="200"/>
      <c r="AO39" s="201"/>
      <c r="AP39" s="200"/>
      <c r="AQ39" s="227">
        <v>-3.7583892617449663</v>
      </c>
      <c r="AR39" s="201">
        <v>0</v>
      </c>
      <c r="AS39" s="200">
        <v>0</v>
      </c>
      <c r="AT39" s="201">
        <v>-0.26845637583892618</v>
      </c>
      <c r="AU39" s="200"/>
      <c r="AV39" s="227">
        <v>0</v>
      </c>
      <c r="AW39" s="201">
        <v>0</v>
      </c>
      <c r="AX39" s="200">
        <v>0</v>
      </c>
      <c r="AY39" s="201">
        <v>-9.1275167785234892</v>
      </c>
      <c r="AZ39" s="200"/>
      <c r="BA39" s="227">
        <v>0</v>
      </c>
      <c r="BB39" s="201">
        <v>0</v>
      </c>
      <c r="BC39" s="200">
        <v>0</v>
      </c>
      <c r="BD39" s="201">
        <v>1.7</v>
      </c>
      <c r="BE39" s="200"/>
      <c r="BF39" s="227">
        <v>0</v>
      </c>
      <c r="BG39" s="201">
        <v>0</v>
      </c>
      <c r="BH39" s="200">
        <v>0</v>
      </c>
      <c r="BI39" s="201">
        <v>-4.5999999999999996</v>
      </c>
      <c r="BJ39" s="227"/>
      <c r="BK39" s="227">
        <v>0</v>
      </c>
      <c r="BL39" s="201">
        <v>0</v>
      </c>
      <c r="BM39" s="229">
        <v>0</v>
      </c>
      <c r="BN39" s="201">
        <v>0.2</v>
      </c>
      <c r="BO39" s="200"/>
      <c r="BP39" s="227">
        <v>0</v>
      </c>
      <c r="BQ39" s="201">
        <v>0</v>
      </c>
      <c r="BR39" s="229"/>
      <c r="BS39" s="201">
        <v>1.8</v>
      </c>
      <c r="BT39" s="200"/>
      <c r="BU39" s="227">
        <v>0</v>
      </c>
      <c r="BV39" s="201">
        <v>0</v>
      </c>
      <c r="BW39" s="229">
        <v>0</v>
      </c>
      <c r="BX39" s="201">
        <f>-6.5+2</f>
        <v>-4.5</v>
      </c>
      <c r="BZ39" s="227">
        <v>0</v>
      </c>
      <c r="CA39" s="201"/>
      <c r="CB39" s="229"/>
      <c r="CC39" s="201"/>
    </row>
    <row r="40" spans="1:81 16384:16384" x14ac:dyDescent="0.2">
      <c r="A40" s="15" t="s">
        <v>67</v>
      </c>
      <c r="C40" s="200">
        <v>1.2080536912751678</v>
      </c>
      <c r="D40" s="201">
        <v>7.1140939597315436</v>
      </c>
      <c r="E40" s="200">
        <v>4.4295302013422821</v>
      </c>
      <c r="F40" s="201">
        <v>1.7449664429530201</v>
      </c>
      <c r="G40" s="202"/>
      <c r="H40" s="200">
        <v>2.5503355704697985</v>
      </c>
      <c r="I40" s="201">
        <v>-16.778523489932887</v>
      </c>
      <c r="J40" s="200">
        <v>-8.8590604026845643</v>
      </c>
      <c r="K40" s="201">
        <v>-2.0134228187919461</v>
      </c>
      <c r="L40" s="202"/>
      <c r="M40" s="200">
        <v>-3.4899328859060401</v>
      </c>
      <c r="N40" s="201">
        <v>-4.4295302013422821</v>
      </c>
      <c r="O40" s="200">
        <v>-6.7114093959731544</v>
      </c>
      <c r="P40" s="201">
        <v>-2.0134228187919461</v>
      </c>
      <c r="Q40" s="202"/>
      <c r="R40" s="200">
        <v>-6.5771812080536911</v>
      </c>
      <c r="S40" s="201">
        <v>4.9664429530201337</v>
      </c>
      <c r="T40" s="200">
        <v>14.36241610738255</v>
      </c>
      <c r="U40" s="201">
        <v>-10.10738255033557</v>
      </c>
      <c r="V40" s="202"/>
      <c r="W40" s="227">
        <v>2.2818791946308723</v>
      </c>
      <c r="X40" s="201">
        <v>-4.9664429530201337</v>
      </c>
      <c r="Y40" s="229">
        <v>-4.6979865771812079</v>
      </c>
      <c r="Z40" s="201">
        <v>11.677852348993289</v>
      </c>
      <c r="AA40" s="200"/>
      <c r="AB40" s="227">
        <f>(-3+111)/7.45</f>
        <v>14.496644295302014</v>
      </c>
      <c r="AC40" s="201">
        <v>15.973154362416107</v>
      </c>
      <c r="AD40" s="229">
        <v>-18.120805369127517</v>
      </c>
      <c r="AE40" s="201">
        <v>11.275167785234899</v>
      </c>
      <c r="AF40" s="200"/>
      <c r="AG40" s="227">
        <v>-16.51006711409396</v>
      </c>
      <c r="AH40" s="201">
        <v>-4.9664429530201337</v>
      </c>
      <c r="AI40" s="229">
        <v>-3.6241610738255035</v>
      </c>
      <c r="AJ40" s="201">
        <v>7.651006711409396</v>
      </c>
      <c r="AK40" s="200"/>
      <c r="AL40" s="227">
        <v>6.7114093959731544</v>
      </c>
      <c r="AM40" s="201">
        <v>-0.53691275167785235</v>
      </c>
      <c r="AN40" s="229">
        <v>8.0536912751677843</v>
      </c>
      <c r="AO40" s="201">
        <v>-2.6845637583892619</v>
      </c>
      <c r="AP40" s="200"/>
      <c r="AQ40" s="227">
        <v>3.7583892617449663</v>
      </c>
      <c r="AR40" s="201">
        <v>-6.174496644295302</v>
      </c>
      <c r="AS40" s="229">
        <v>-6.174496644295302</v>
      </c>
      <c r="AT40" s="201">
        <v>-6.0402684563758386</v>
      </c>
      <c r="AU40" s="200"/>
      <c r="AV40" s="227">
        <v>-9.6644295302013425</v>
      </c>
      <c r="AW40" s="201">
        <v>4.9664429530201337</v>
      </c>
      <c r="AX40" s="229">
        <v>22.550335570469798</v>
      </c>
      <c r="AY40" s="201">
        <v>5.1006711409395971</v>
      </c>
      <c r="AZ40" s="200"/>
      <c r="BA40" s="227">
        <v>35.302013422818789</v>
      </c>
      <c r="BB40" s="201">
        <f>(137-263)/7.45</f>
        <v>-16.912751677852349</v>
      </c>
      <c r="BC40" s="229">
        <v>-13.557046979865772</v>
      </c>
      <c r="BD40" s="201">
        <v>1.1000000000000001</v>
      </c>
      <c r="BE40" s="200"/>
      <c r="BF40" s="227">
        <v>-5.8</v>
      </c>
      <c r="BG40" s="201">
        <v>1.6</v>
      </c>
      <c r="BH40" s="229">
        <v>-0.2</v>
      </c>
      <c r="BI40" s="201">
        <v>1.3</v>
      </c>
      <c r="BJ40" s="227"/>
      <c r="BK40" s="227">
        <v>-0.3</v>
      </c>
      <c r="BL40" s="201">
        <v>-23.3</v>
      </c>
      <c r="BM40" s="229">
        <v>-7.2</v>
      </c>
      <c r="BN40" s="201">
        <f>-20.1-13.5-1.4-BM40-BL40-BK40</f>
        <v>-4.2</v>
      </c>
      <c r="BO40" s="200"/>
      <c r="BP40" s="227">
        <v>-36.4</v>
      </c>
      <c r="BQ40" s="201">
        <v>-9.4</v>
      </c>
      <c r="BR40" s="229">
        <v>11.8</v>
      </c>
      <c r="BS40" s="201">
        <v>9.5</v>
      </c>
      <c r="BT40" s="200"/>
      <c r="BU40" s="227">
        <v>-8.4</v>
      </c>
      <c r="BV40" s="201">
        <v>-9</v>
      </c>
      <c r="BW40" s="229">
        <v>-10.5</v>
      </c>
      <c r="BX40" s="201">
        <v>24.7</v>
      </c>
      <c r="BZ40" s="227">
        <f>-59.6+0.3</f>
        <v>-59.300000000000004</v>
      </c>
      <c r="CA40" s="201"/>
      <c r="CB40" s="229"/>
      <c r="CC40" s="201"/>
    </row>
    <row r="41" spans="1:81 16384:16384" x14ac:dyDescent="0.2">
      <c r="A41" s="15" t="s">
        <v>139</v>
      </c>
      <c r="C41" s="200">
        <v>-1.6107382550335569</v>
      </c>
      <c r="D41" s="201">
        <v>0</v>
      </c>
      <c r="E41" s="200">
        <v>-37.04697986577181</v>
      </c>
      <c r="F41" s="201">
        <v>0</v>
      </c>
      <c r="G41" s="202"/>
      <c r="H41" s="200">
        <v>-8.5906040268456376</v>
      </c>
      <c r="I41" s="201">
        <v>1.7449664429530201</v>
      </c>
      <c r="J41" s="200">
        <v>0</v>
      </c>
      <c r="K41" s="201">
        <v>0</v>
      </c>
      <c r="L41" s="202"/>
      <c r="M41" s="200">
        <v>0.93959731543624159</v>
      </c>
      <c r="N41" s="201">
        <v>1.3422818791946309</v>
      </c>
      <c r="O41" s="200">
        <v>0</v>
      </c>
      <c r="P41" s="201">
        <v>0</v>
      </c>
      <c r="Q41" s="202"/>
      <c r="R41" s="200">
        <v>0.53691275167785235</v>
      </c>
      <c r="S41" s="201">
        <v>1.6107382550335569</v>
      </c>
      <c r="T41" s="200">
        <v>0.13422818791946309</v>
      </c>
      <c r="U41" s="201">
        <v>0.13422818791946309</v>
      </c>
      <c r="V41" s="202"/>
      <c r="W41" s="227">
        <v>0.13422818791946309</v>
      </c>
      <c r="X41" s="201">
        <v>0.26845637583892618</v>
      </c>
      <c r="Y41" s="227">
        <v>0.13422818791946309</v>
      </c>
      <c r="Z41" s="201">
        <v>0.13422818791946309</v>
      </c>
      <c r="AA41" s="200"/>
      <c r="AB41" s="227">
        <v>0.26845637583892618</v>
      </c>
      <c r="AC41" s="201">
        <v>0.67114093959731547</v>
      </c>
      <c r="AD41" s="227">
        <v>0.13422818791946309</v>
      </c>
      <c r="AE41" s="201">
        <v>0.13422818791946309</v>
      </c>
      <c r="AF41" s="200"/>
      <c r="AG41" s="227">
        <v>0.13422818791946309</v>
      </c>
      <c r="AH41" s="201">
        <v>0.26845637583892618</v>
      </c>
      <c r="AI41" s="227">
        <v>0.13422818791946309</v>
      </c>
      <c r="AJ41" s="201">
        <v>0</v>
      </c>
      <c r="AK41" s="200"/>
      <c r="AL41" s="227">
        <f>(1+22)/7.45</f>
        <v>3.087248322147651</v>
      </c>
      <c r="AM41" s="201">
        <v>0.13422818791946309</v>
      </c>
      <c r="AN41" s="227">
        <v>0.26845637583892618</v>
      </c>
      <c r="AO41" s="201">
        <v>0.13422818791946309</v>
      </c>
      <c r="AP41" s="200"/>
      <c r="AQ41" s="227">
        <v>1.0738255033557047</v>
      </c>
      <c r="AR41" s="201">
        <v>0.13422818791946309</v>
      </c>
      <c r="AS41" s="227">
        <v>0.13422818791946309</v>
      </c>
      <c r="AT41" s="201">
        <v>0.53691275167785235</v>
      </c>
      <c r="AU41" s="200"/>
      <c r="AV41" s="227">
        <v>0.13422818791946309</v>
      </c>
      <c r="AW41" s="201">
        <v>0.13422818791946309</v>
      </c>
      <c r="AX41" s="227">
        <v>0</v>
      </c>
      <c r="AY41" s="201">
        <v>0</v>
      </c>
      <c r="AZ41" s="200"/>
      <c r="BA41" s="227">
        <v>11.409395973154362</v>
      </c>
      <c r="BB41" s="201">
        <v>0.13422818791946309</v>
      </c>
      <c r="BC41" s="227">
        <v>0.13422818791946309</v>
      </c>
      <c r="BD41" s="201">
        <v>0</v>
      </c>
      <c r="BE41" s="200"/>
      <c r="BF41" s="227">
        <f>6.3+0.1-4.7</f>
        <v>1.6999999999999993</v>
      </c>
      <c r="BG41" s="201">
        <f>0.1-0.9+6.3-24.9-1.7-2</f>
        <v>-23.099999999999998</v>
      </c>
      <c r="BH41" s="227">
        <v>-16.5</v>
      </c>
      <c r="BI41" s="201">
        <v>3.6</v>
      </c>
      <c r="BJ41" s="227"/>
      <c r="BK41" s="227">
        <v>7.8</v>
      </c>
      <c r="BL41" s="201">
        <f>1.7-0.2</f>
        <v>1.5</v>
      </c>
      <c r="BM41" s="229">
        <v>0.7</v>
      </c>
      <c r="BN41" s="201">
        <v>0.2</v>
      </c>
      <c r="BO41" s="200"/>
      <c r="BP41" s="227"/>
      <c r="BQ41" s="201"/>
      <c r="BR41" s="229"/>
      <c r="BS41" s="201"/>
      <c r="BT41" s="200"/>
      <c r="BU41" s="227"/>
      <c r="BV41" s="201"/>
      <c r="BW41" s="229"/>
      <c r="BX41" s="201"/>
      <c r="BZ41" s="227"/>
      <c r="CA41" s="201"/>
      <c r="CB41" s="229"/>
      <c r="CC41" s="201"/>
    </row>
    <row r="42" spans="1:81 16384:16384" x14ac:dyDescent="0.2">
      <c r="A42" s="15" t="s">
        <v>178</v>
      </c>
      <c r="C42" s="200"/>
      <c r="D42" s="201"/>
      <c r="E42" s="200"/>
      <c r="F42" s="201"/>
      <c r="G42" s="202"/>
      <c r="H42" s="200"/>
      <c r="I42" s="201"/>
      <c r="J42" s="200"/>
      <c r="K42" s="201"/>
      <c r="L42" s="202"/>
      <c r="M42" s="200"/>
      <c r="N42" s="201"/>
      <c r="O42" s="200"/>
      <c r="P42" s="201"/>
      <c r="Q42" s="202"/>
      <c r="R42" s="200"/>
      <c r="S42" s="201"/>
      <c r="T42" s="200"/>
      <c r="U42" s="201"/>
      <c r="V42" s="202"/>
      <c r="W42" s="227"/>
      <c r="X42" s="201"/>
      <c r="Y42" s="227"/>
      <c r="Z42" s="201"/>
      <c r="AA42" s="200"/>
      <c r="AB42" s="227"/>
      <c r="AC42" s="201"/>
      <c r="AD42" s="227"/>
      <c r="AE42" s="201"/>
      <c r="AF42" s="200"/>
      <c r="AG42" s="227"/>
      <c r="AH42" s="201"/>
      <c r="AI42" s="227"/>
      <c r="AJ42" s="201"/>
      <c r="AK42" s="200"/>
      <c r="AL42" s="227"/>
      <c r="AM42" s="201"/>
      <c r="AN42" s="227"/>
      <c r="AO42" s="201"/>
      <c r="AP42" s="200"/>
      <c r="AQ42" s="227"/>
      <c r="AR42" s="201"/>
      <c r="AS42" s="227"/>
      <c r="AT42" s="201"/>
      <c r="AU42" s="200"/>
      <c r="AV42" s="227"/>
      <c r="AW42" s="201"/>
      <c r="AX42" s="227"/>
      <c r="AY42" s="201"/>
      <c r="AZ42" s="200"/>
      <c r="BA42" s="227"/>
      <c r="BB42" s="201"/>
      <c r="BC42" s="227"/>
      <c r="BD42" s="201"/>
      <c r="BE42" s="200"/>
      <c r="BF42" s="227"/>
      <c r="BG42" s="201"/>
      <c r="BH42" s="227"/>
      <c r="BI42" s="201"/>
      <c r="BJ42" s="227"/>
      <c r="BK42" s="227"/>
      <c r="BL42" s="201"/>
      <c r="BM42" s="229"/>
      <c r="BN42" s="201"/>
      <c r="BO42" s="200"/>
      <c r="BP42" s="227"/>
      <c r="BQ42" s="201"/>
      <c r="BR42" s="229">
        <f>150-1.7</f>
        <v>148.30000000000001</v>
      </c>
      <c r="BS42" s="201"/>
      <c r="BT42" s="200"/>
      <c r="BU42" s="227"/>
      <c r="BV42" s="201"/>
      <c r="BW42" s="229"/>
      <c r="BX42" s="201"/>
      <c r="BZ42" s="227"/>
      <c r="CA42" s="201"/>
      <c r="CB42" s="229"/>
      <c r="CC42" s="201"/>
    </row>
    <row r="43" spans="1:81 16384:16384" x14ac:dyDescent="0.2">
      <c r="A43" s="15" t="s">
        <v>180</v>
      </c>
      <c r="C43" s="200"/>
      <c r="D43" s="201"/>
      <c r="E43" s="200"/>
      <c r="F43" s="201"/>
      <c r="G43" s="202"/>
      <c r="H43" s="200"/>
      <c r="I43" s="201"/>
      <c r="J43" s="200"/>
      <c r="K43" s="201"/>
      <c r="L43" s="202"/>
      <c r="M43" s="200"/>
      <c r="N43" s="201"/>
      <c r="O43" s="200"/>
      <c r="P43" s="201"/>
      <c r="Q43" s="202"/>
      <c r="R43" s="200"/>
      <c r="S43" s="201"/>
      <c r="T43" s="200"/>
      <c r="U43" s="201"/>
      <c r="V43" s="202"/>
      <c r="W43" s="227"/>
      <c r="X43" s="201"/>
      <c r="Y43" s="227"/>
      <c r="Z43" s="201"/>
      <c r="AA43" s="200"/>
      <c r="AB43" s="227"/>
      <c r="AC43" s="201"/>
      <c r="AD43" s="227"/>
      <c r="AE43" s="201"/>
      <c r="AF43" s="200"/>
      <c r="AG43" s="227"/>
      <c r="AH43" s="201"/>
      <c r="AI43" s="227"/>
      <c r="AJ43" s="201"/>
      <c r="AK43" s="200"/>
      <c r="AL43" s="227"/>
      <c r="AM43" s="201"/>
      <c r="AN43" s="227"/>
      <c r="AO43" s="201"/>
      <c r="AP43" s="200"/>
      <c r="AQ43" s="227"/>
      <c r="AR43" s="201"/>
      <c r="AS43" s="227"/>
      <c r="AT43" s="201"/>
      <c r="AU43" s="200"/>
      <c r="AV43" s="227"/>
      <c r="AW43" s="201"/>
      <c r="AX43" s="227"/>
      <c r="AY43" s="201"/>
      <c r="AZ43" s="200"/>
      <c r="BA43" s="227"/>
      <c r="BB43" s="201"/>
      <c r="BC43" s="227"/>
      <c r="BD43" s="201"/>
      <c r="BE43" s="200"/>
      <c r="BF43" s="227"/>
      <c r="BG43" s="201"/>
      <c r="BH43" s="227"/>
      <c r="BI43" s="201"/>
      <c r="BJ43" s="227"/>
      <c r="BK43" s="227"/>
      <c r="BL43" s="201"/>
      <c r="BM43" s="229"/>
      <c r="BN43" s="201"/>
      <c r="BO43" s="200"/>
      <c r="BP43" s="227"/>
      <c r="BQ43" s="201"/>
      <c r="BR43" s="229"/>
      <c r="BS43" s="201"/>
      <c r="BT43" s="200"/>
      <c r="BU43" s="227"/>
      <c r="BV43" s="201"/>
      <c r="BW43" s="229">
        <v>-8.1</v>
      </c>
      <c r="BX43" s="201"/>
      <c r="BZ43" s="227"/>
      <c r="CA43" s="201"/>
      <c r="CB43" s="229"/>
      <c r="CC43" s="201"/>
    </row>
    <row r="44" spans="1:81 16384:16384" x14ac:dyDescent="0.2">
      <c r="A44" s="15" t="s">
        <v>142</v>
      </c>
      <c r="C44" s="200"/>
      <c r="D44" s="201"/>
      <c r="E44" s="200"/>
      <c r="F44" s="201"/>
      <c r="G44" s="202"/>
      <c r="H44" s="200"/>
      <c r="I44" s="201"/>
      <c r="J44" s="200"/>
      <c r="K44" s="201"/>
      <c r="L44" s="202"/>
      <c r="M44" s="200"/>
      <c r="N44" s="201"/>
      <c r="O44" s="200"/>
      <c r="P44" s="201"/>
      <c r="Q44" s="202"/>
      <c r="R44" s="200"/>
      <c r="S44" s="201"/>
      <c r="T44" s="200"/>
      <c r="U44" s="201"/>
      <c r="V44" s="202"/>
      <c r="W44" s="227"/>
      <c r="X44" s="201"/>
      <c r="Y44" s="227"/>
      <c r="Z44" s="201"/>
      <c r="AA44" s="200"/>
      <c r="AB44" s="227"/>
      <c r="AC44" s="201"/>
      <c r="AD44" s="227"/>
      <c r="AE44" s="201"/>
      <c r="AF44" s="200"/>
      <c r="AG44" s="227"/>
      <c r="AH44" s="201"/>
      <c r="AI44" s="227"/>
      <c r="AJ44" s="201"/>
      <c r="AK44" s="200"/>
      <c r="AL44" s="227"/>
      <c r="AM44" s="201"/>
      <c r="AN44" s="227"/>
      <c r="AO44" s="201"/>
      <c r="AP44" s="200"/>
      <c r="AQ44" s="227"/>
      <c r="AR44" s="201"/>
      <c r="AS44" s="227"/>
      <c r="AT44" s="201"/>
      <c r="AU44" s="200"/>
      <c r="AV44" s="227"/>
      <c r="AW44" s="201"/>
      <c r="AX44" s="227"/>
      <c r="AY44" s="201"/>
      <c r="AZ44" s="200"/>
      <c r="BA44" s="227"/>
      <c r="BB44" s="201"/>
      <c r="BC44" s="227"/>
      <c r="BD44" s="201"/>
      <c r="BE44" s="200"/>
      <c r="BF44" s="227"/>
      <c r="BG44" s="201"/>
      <c r="BH44" s="227"/>
      <c r="BI44" s="201">
        <v>184.8</v>
      </c>
      <c r="BJ44" s="227"/>
      <c r="BK44" s="227"/>
      <c r="BL44" s="201"/>
      <c r="BM44" s="229"/>
      <c r="BN44" s="201"/>
      <c r="BO44" s="200"/>
      <c r="BP44" s="227"/>
      <c r="BQ44" s="201"/>
      <c r="BR44" s="229"/>
      <c r="BS44" s="201"/>
      <c r="BT44" s="200"/>
      <c r="BU44" s="227"/>
      <c r="BV44" s="201"/>
      <c r="BW44" s="229"/>
      <c r="BX44" s="201"/>
      <c r="BZ44" s="227"/>
      <c r="CA44" s="201"/>
      <c r="CB44" s="229"/>
      <c r="CC44" s="201"/>
    </row>
    <row r="45" spans="1:81 16384:16384" x14ac:dyDescent="0.2">
      <c r="A45" s="15" t="s">
        <v>174</v>
      </c>
      <c r="C45" s="200"/>
      <c r="D45" s="201"/>
      <c r="E45" s="200"/>
      <c r="F45" s="201"/>
      <c r="G45" s="202"/>
      <c r="H45" s="200"/>
      <c r="I45" s="201"/>
      <c r="J45" s="200"/>
      <c r="K45" s="201"/>
      <c r="L45" s="202"/>
      <c r="M45" s="200"/>
      <c r="N45" s="201"/>
      <c r="O45" s="200"/>
      <c r="P45" s="201"/>
      <c r="Q45" s="202"/>
      <c r="R45" s="200"/>
      <c r="S45" s="201"/>
      <c r="T45" s="200"/>
      <c r="U45" s="201"/>
      <c r="V45" s="202"/>
      <c r="W45" s="227"/>
      <c r="X45" s="201"/>
      <c r="Y45" s="227"/>
      <c r="Z45" s="201"/>
      <c r="AA45" s="200"/>
      <c r="AB45" s="227"/>
      <c r="AC45" s="201"/>
      <c r="AD45" s="227"/>
      <c r="AE45" s="201"/>
      <c r="AF45" s="200"/>
      <c r="AG45" s="227"/>
      <c r="AH45" s="201"/>
      <c r="AI45" s="227"/>
      <c r="AJ45" s="201"/>
      <c r="AK45" s="200"/>
      <c r="AL45" s="227"/>
      <c r="AM45" s="201"/>
      <c r="AN45" s="227"/>
      <c r="AO45" s="201"/>
      <c r="AP45" s="200"/>
      <c r="AQ45" s="227"/>
      <c r="AR45" s="201"/>
      <c r="AS45" s="227"/>
      <c r="AT45" s="201"/>
      <c r="AU45" s="200"/>
      <c r="AV45" s="227"/>
      <c r="AW45" s="201"/>
      <c r="AX45" s="227"/>
      <c r="AY45" s="201"/>
      <c r="AZ45" s="200"/>
      <c r="BA45" s="227"/>
      <c r="BB45" s="201"/>
      <c r="BC45" s="227"/>
      <c r="BD45" s="201"/>
      <c r="BE45" s="200"/>
      <c r="BF45" s="227"/>
      <c r="BG45" s="201"/>
      <c r="BH45" s="227"/>
      <c r="BI45" s="201"/>
      <c r="BJ45" s="227"/>
      <c r="BK45" s="227"/>
      <c r="BL45" s="201"/>
      <c r="BM45" s="229">
        <v>0</v>
      </c>
      <c r="BN45" s="201">
        <v>-1039.3</v>
      </c>
      <c r="BO45" s="200"/>
      <c r="BP45" s="227"/>
      <c r="BQ45" s="201"/>
      <c r="BR45" s="229"/>
      <c r="BS45" s="201"/>
      <c r="BT45" s="200"/>
      <c r="BU45" s="227"/>
      <c r="BV45" s="201"/>
      <c r="BW45" s="229"/>
      <c r="BX45" s="201"/>
      <c r="BZ45" s="227"/>
      <c r="CA45" s="201"/>
      <c r="CB45" s="229"/>
      <c r="CC45" s="201"/>
    </row>
    <row r="46" spans="1:81 16384:16384" s="98" customFormat="1" x14ac:dyDescent="0.2">
      <c r="A46" s="98" t="s">
        <v>80</v>
      </c>
      <c r="B46" s="99"/>
      <c r="C46" s="203">
        <v>0</v>
      </c>
      <c r="D46" s="204">
        <v>-26.308724832214764</v>
      </c>
      <c r="E46" s="203">
        <v>0</v>
      </c>
      <c r="F46" s="204">
        <v>0</v>
      </c>
      <c r="G46" s="205"/>
      <c r="H46" s="203">
        <v>0</v>
      </c>
      <c r="I46" s="204">
        <v>-39.463087248322147</v>
      </c>
      <c r="J46" s="203">
        <v>0</v>
      </c>
      <c r="K46" s="204">
        <v>0</v>
      </c>
      <c r="L46" s="205"/>
      <c r="M46" s="203">
        <v>0</v>
      </c>
      <c r="N46" s="204">
        <v>-31.677852348993287</v>
      </c>
      <c r="O46" s="203">
        <v>0</v>
      </c>
      <c r="P46" s="204">
        <v>0</v>
      </c>
      <c r="Q46" s="205"/>
      <c r="R46" s="203">
        <v>0</v>
      </c>
      <c r="S46" s="204">
        <v>-34.899328859060404</v>
      </c>
      <c r="T46" s="203">
        <v>0</v>
      </c>
      <c r="U46" s="204">
        <v>0</v>
      </c>
      <c r="V46" s="205"/>
      <c r="W46" s="203">
        <v>0</v>
      </c>
      <c r="X46" s="204">
        <v>0</v>
      </c>
      <c r="Y46" s="230">
        <v>0</v>
      </c>
      <c r="Z46" s="204">
        <v>0</v>
      </c>
      <c r="AA46" s="203"/>
      <c r="AB46" s="203">
        <v>-11.140939597315436</v>
      </c>
      <c r="AC46" s="204">
        <v>0</v>
      </c>
      <c r="AD46" s="230">
        <v>0</v>
      </c>
      <c r="AE46" s="204">
        <v>0</v>
      </c>
      <c r="AF46" s="203"/>
      <c r="AG46" s="203">
        <v>-6.3087248322147653</v>
      </c>
      <c r="AH46" s="204">
        <v>0</v>
      </c>
      <c r="AI46" s="230">
        <v>0</v>
      </c>
      <c r="AJ46" s="204">
        <v>0</v>
      </c>
      <c r="AK46" s="203"/>
      <c r="AL46" s="203">
        <v>-6.4429530201342278</v>
      </c>
      <c r="AM46" s="204">
        <v>0</v>
      </c>
      <c r="AN46" s="230">
        <v>0</v>
      </c>
      <c r="AO46" s="204">
        <v>0</v>
      </c>
      <c r="AP46" s="203"/>
      <c r="AQ46" s="228">
        <v>-25.63758389261745</v>
      </c>
      <c r="AR46" s="204">
        <v>0</v>
      </c>
      <c r="AS46" s="230">
        <v>0</v>
      </c>
      <c r="AT46" s="204">
        <v>0</v>
      </c>
      <c r="AU46" s="203"/>
      <c r="AV46" s="228">
        <v>-11.275167785234899</v>
      </c>
      <c r="AW46" s="204">
        <v>0</v>
      </c>
      <c r="AX46" s="230">
        <v>0</v>
      </c>
      <c r="AY46" s="204">
        <v>0</v>
      </c>
      <c r="AZ46" s="203"/>
      <c r="BA46" s="228">
        <v>-13.020134228187919</v>
      </c>
      <c r="BB46" s="204">
        <v>0</v>
      </c>
      <c r="BC46" s="230">
        <v>0</v>
      </c>
      <c r="BD46" s="204">
        <v>0</v>
      </c>
      <c r="BE46" s="203"/>
      <c r="BF46" s="228">
        <v>-13</v>
      </c>
      <c r="BG46" s="204">
        <v>0</v>
      </c>
      <c r="BH46" s="230">
        <v>0</v>
      </c>
      <c r="BI46" s="204">
        <v>0</v>
      </c>
      <c r="BJ46" s="228"/>
      <c r="BK46" s="228">
        <v>0</v>
      </c>
      <c r="BL46" s="204">
        <v>0</v>
      </c>
      <c r="BM46" s="230">
        <v>0</v>
      </c>
      <c r="BN46" s="204"/>
      <c r="BO46" s="203"/>
      <c r="BP46" s="228"/>
      <c r="BQ46" s="204"/>
      <c r="BR46" s="230"/>
      <c r="BS46" s="204"/>
      <c r="BT46" s="203"/>
      <c r="BU46" s="228"/>
      <c r="BV46" s="204"/>
      <c r="BW46" s="230"/>
      <c r="BX46" s="204"/>
      <c r="BZ46" s="228"/>
      <c r="CA46" s="204"/>
      <c r="CB46" s="230"/>
      <c r="CC46" s="204"/>
    </row>
    <row r="47" spans="1:81 16384:16384" s="182" customFormat="1" x14ac:dyDescent="0.2">
      <c r="A47" s="182" t="s">
        <v>108</v>
      </c>
      <c r="B47" s="181"/>
      <c r="C47" s="231">
        <f>SUM(C37:C46)</f>
        <v>375.83892617449663</v>
      </c>
      <c r="D47" s="232">
        <f>SUM(D37:D46)</f>
        <v>370.73825503355704</v>
      </c>
      <c r="E47" s="231">
        <f>SUM(E37:E46)</f>
        <v>353.82550335570471</v>
      </c>
      <c r="F47" s="232">
        <f>SUM(F37:F46)</f>
        <v>367.11409395973152</v>
      </c>
      <c r="G47" s="233"/>
      <c r="H47" s="231">
        <f>SUM(H37:H46)</f>
        <v>372.48322147651004</v>
      </c>
      <c r="I47" s="232">
        <f>SUM(I37:I46)</f>
        <v>348.5906040268456</v>
      </c>
      <c r="J47" s="231">
        <f>SUM(J37:J46)</f>
        <v>359.32885906040264</v>
      </c>
      <c r="K47" s="232">
        <f>SUM(K37:K46)</f>
        <v>376.6442953020134</v>
      </c>
      <c r="L47" s="233"/>
      <c r="M47" s="231">
        <f>SUM(M37:M46)</f>
        <v>390.20134228187914</v>
      </c>
      <c r="N47" s="232">
        <f>SUM(N37:N46)</f>
        <v>385.50335570469792</v>
      </c>
      <c r="O47" s="231">
        <f>SUM(O37:O46)</f>
        <v>401.2080536912751</v>
      </c>
      <c r="P47" s="232">
        <f>SUM(P37:P46)</f>
        <v>440.67114093959725</v>
      </c>
      <c r="Q47" s="233"/>
      <c r="R47" s="231">
        <f>SUM(R37:R46)</f>
        <v>453.15436241610735</v>
      </c>
      <c r="S47" s="232">
        <f>SUM(S37:S46)</f>
        <v>455.97315436241604</v>
      </c>
      <c r="T47" s="231">
        <f>SUM(T37:T46)</f>
        <v>489.12751677852344</v>
      </c>
      <c r="U47" s="232">
        <f>SUM(U37:U46)</f>
        <v>465.06040268456371</v>
      </c>
      <c r="V47" s="233"/>
      <c r="W47" s="231">
        <f>SUM(W37:W46)</f>
        <v>467.47651006711402</v>
      </c>
      <c r="X47" s="232">
        <f>SUM(X37:X46)</f>
        <v>475.39597315436237</v>
      </c>
      <c r="Y47" s="231">
        <f>SUM(Y37:Y46)</f>
        <v>480.3624161073825</v>
      </c>
      <c r="Z47" s="232">
        <f>SUM(Z37:Z46)</f>
        <v>501.97315436241604</v>
      </c>
      <c r="AA47" s="231"/>
      <c r="AB47" s="231">
        <f>SUM(AB37:AB46)</f>
        <v>514.32214765100662</v>
      </c>
      <c r="AC47" s="232">
        <f>SUM(AC37:AC46)</f>
        <v>543.98657718120796</v>
      </c>
      <c r="AD47" s="231">
        <f>SUM(AD37:AD46)</f>
        <v>536.73825503355692</v>
      </c>
      <c r="AE47" s="232">
        <f>SUM(AE37:AE46)</f>
        <v>551.9060402684562</v>
      </c>
      <c r="AF47" s="231"/>
      <c r="AG47" s="231">
        <f>SUM(AG37:AG46)</f>
        <v>536.0671140939595</v>
      </c>
      <c r="AH47" s="232">
        <f>SUM(AH37:AH46)</f>
        <v>535.3959731543622</v>
      </c>
      <c r="AI47" s="231">
        <f>SUM(AI37:AI46)</f>
        <v>537.67785234899316</v>
      </c>
      <c r="AJ47" s="232">
        <f>SUM(AJ37:AJ46)</f>
        <v>545.73154362416096</v>
      </c>
      <c r="AK47" s="231"/>
      <c r="AL47" s="231">
        <f>SUM(AL37:AL46)</f>
        <v>553.24832214765081</v>
      </c>
      <c r="AM47" s="231">
        <f>SUM(AM37:AM46)</f>
        <v>745.99999999999977</v>
      </c>
      <c r="AN47" s="234">
        <f>SUM(AN37:AN46)</f>
        <v>759.28859060402669</v>
      </c>
      <c r="AO47" s="232">
        <f>SUM(AO37:AO46)</f>
        <v>770.02684563758373</v>
      </c>
      <c r="AP47" s="231"/>
      <c r="AQ47" s="234">
        <f>SUM(AQ37:AQ46)</f>
        <v>748.81879194630847</v>
      </c>
      <c r="AR47" s="232">
        <f>SUM(AR37:AR46)</f>
        <v>752.97986577181177</v>
      </c>
      <c r="AS47" s="234">
        <f>SUM(AS37:AS46)</f>
        <v>754.05369127516747</v>
      </c>
      <c r="AT47" s="232">
        <f>SUM(AT37:AT46)</f>
        <v>761.57046979865731</v>
      </c>
      <c r="AU47" s="231"/>
      <c r="AV47" s="234">
        <f>SUM(AV37:AV46)</f>
        <v>752.44295302013381</v>
      </c>
      <c r="AW47" s="232">
        <f>SUM(AW37:AW46)</f>
        <v>763.85234899328816</v>
      </c>
      <c r="AX47" s="234">
        <f>SUM(AX37:AX46)</f>
        <v>794.45637583892574</v>
      </c>
      <c r="AY47" s="232">
        <f>SUM(AY37:AY46)</f>
        <v>801.9731543624157</v>
      </c>
      <c r="AZ47" s="231"/>
      <c r="BA47" s="234">
        <f>SUM(BA37:BA46)</f>
        <v>847.87919463087201</v>
      </c>
      <c r="BB47" s="232">
        <f>SUM(BB37:BB46)</f>
        <v>803.44966442952966</v>
      </c>
      <c r="BC47" s="234">
        <f>SUM(BC37:BC46)</f>
        <v>799.69127516778474</v>
      </c>
      <c r="BD47" s="232">
        <f>SUM(BD37:BD46)</f>
        <v>809.45127516778484</v>
      </c>
      <c r="BE47" s="231"/>
      <c r="BF47" s="234">
        <f>SUM(BF37:BF46)</f>
        <v>802.95227516778493</v>
      </c>
      <c r="BG47" s="232">
        <f>SUM(BG37:BG46)</f>
        <v>801.65227516778498</v>
      </c>
      <c r="BH47" s="234">
        <f>SUM(BH37:BH46)</f>
        <v>760.15227516778498</v>
      </c>
      <c r="BI47" s="232">
        <f>SUM(BI37:BI46)</f>
        <v>951.35227516778491</v>
      </c>
      <c r="BJ47" s="231"/>
      <c r="BK47" s="234">
        <f>SUM(BK37:BK46)</f>
        <v>971.45227516778493</v>
      </c>
      <c r="BL47" s="232">
        <f>SUM(BL37:BL46)</f>
        <v>982.15227516778498</v>
      </c>
      <c r="BM47" s="234">
        <f>SUM(BM37:BM46)</f>
        <v>993.252275167785</v>
      </c>
      <c r="BN47" s="232">
        <f>SUM(BN37:BN46)</f>
        <v>816.25227516778523</v>
      </c>
      <c r="BO47" s="231"/>
      <c r="BP47" s="234">
        <f>SUM(BP37:BP46)</f>
        <v>774.85227516778525</v>
      </c>
      <c r="BQ47" s="232">
        <f>SUM(BQ37:BQ46)</f>
        <v>767.15227516778532</v>
      </c>
      <c r="BR47" s="234">
        <f>SUM(BR37:BR46)</f>
        <v>924.45227516778527</v>
      </c>
      <c r="BS47" s="232">
        <f>SUM(BS37:BS46)</f>
        <v>895.55227516778518</v>
      </c>
      <c r="BT47" s="231"/>
      <c r="BU47" s="234">
        <f>SUM(BU37:BU46)</f>
        <v>868.15227516778521</v>
      </c>
      <c r="BV47" s="232">
        <f>SUM(BV37:BV46)</f>
        <v>844.05227516778518</v>
      </c>
      <c r="BW47" s="234">
        <f>SUM(BW37:BW46)</f>
        <v>806.25227516778511</v>
      </c>
      <c r="BX47" s="232">
        <f>SUM(BX37:BX46)</f>
        <v>803.75227516778511</v>
      </c>
      <c r="BZ47" s="234">
        <f>SUM(BZ37:BZ46)</f>
        <v>723.85227516778514</v>
      </c>
      <c r="CA47" s="232"/>
      <c r="CB47" s="234"/>
      <c r="CC47" s="232"/>
      <c r="XFD47" s="189"/>
    </row>
    <row r="48" spans="1:81 16384:16384" x14ac:dyDescent="0.2">
      <c r="AQ48" s="16"/>
      <c r="AR48" s="16"/>
      <c r="AV48" s="109"/>
      <c r="AW48" s="16"/>
      <c r="BA48" s="109"/>
      <c r="BB48" s="16"/>
      <c r="BF48" s="109"/>
      <c r="BG48" s="16"/>
      <c r="BK48" s="109"/>
      <c r="BL48" s="16"/>
      <c r="BP48" s="109"/>
      <c r="BQ48" s="16"/>
      <c r="BU48" s="109"/>
      <c r="BV48" s="16"/>
      <c r="BZ48" s="109"/>
      <c r="CA48" s="16"/>
    </row>
  </sheetData>
  <mergeCells count="29">
    <mergeCell ref="AB2:AE2"/>
    <mergeCell ref="AG1:AJ1"/>
    <mergeCell ref="AG2:AJ2"/>
    <mergeCell ref="H2:K2"/>
    <mergeCell ref="BP2:BS2"/>
    <mergeCell ref="AQ1:AT1"/>
    <mergeCell ref="AQ2:AT2"/>
    <mergeCell ref="W1:Z1"/>
    <mergeCell ref="R2:U2"/>
    <mergeCell ref="BK1:BO1"/>
    <mergeCell ref="BK2:BN2"/>
    <mergeCell ref="BF1:BI1"/>
    <mergeCell ref="BF2:BI2"/>
    <mergeCell ref="BZ2:CC2"/>
    <mergeCell ref="BU2:BX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S21"/>
  <sheetViews>
    <sheetView showGridLines="0" zoomScale="90" zoomScaleNormal="90" zoomScaleSheetLayoutView="75" workbookViewId="0">
      <pane xSplit="1" ySplit="4" topLeftCell="CA5" activePane="bottomRight" state="frozen"/>
      <selection activeCell="O4" sqref="O4"/>
      <selection pane="topRight" activeCell="O4" sqref="O4"/>
      <selection pane="bottomLeft" activeCell="O4" sqref="O4"/>
      <selection pane="bottomRight" activeCell="CO21" sqref="CO21"/>
    </sheetView>
  </sheetViews>
  <sheetFormatPr defaultColWidth="9.140625" defaultRowHeight="12.75" x14ac:dyDescent="0.2"/>
  <cols>
    <col min="1" max="1" width="37.140625" style="15" customWidth="1"/>
    <col min="2" max="2" width="4.7109375" style="15" customWidth="1"/>
    <col min="3" max="6" width="8.7109375" style="15" customWidth="1"/>
    <col min="7" max="7" width="8.7109375" style="96" customWidth="1"/>
    <col min="8" max="8" width="4.7109375" style="15" customWidth="1"/>
    <col min="9" max="12" width="8.7109375" style="15" customWidth="1"/>
    <col min="13" max="13" width="8.7109375" style="96" customWidth="1"/>
    <col min="14" max="14" width="4.7109375" style="15" customWidth="1"/>
    <col min="15" max="18" width="8.7109375" style="15" customWidth="1"/>
    <col min="19" max="19" width="8.7109375" style="96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96" customWidth="1"/>
    <col min="26" max="26" width="4.7109375" style="15" customWidth="1"/>
    <col min="27" max="30" width="8.7109375" style="15" customWidth="1"/>
    <col min="31" max="31" width="8.7109375" style="96" customWidth="1"/>
    <col min="32" max="32" width="4.7109375" style="15" customWidth="1"/>
    <col min="33" max="36" width="8.7109375" style="15" customWidth="1"/>
    <col min="37" max="37" width="8.7109375" style="96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74" width="4.5703125" style="15" customWidth="1"/>
    <col min="75" max="79" width="8.7109375" style="15" customWidth="1"/>
    <col min="80" max="80" width="4.5703125" style="15" customWidth="1"/>
    <col min="81" max="85" width="8.7109375" style="15" customWidth="1"/>
    <col min="86" max="86" width="4.5703125" style="15" customWidth="1"/>
    <col min="87" max="91" width="8.7109375" style="15" customWidth="1"/>
    <col min="92" max="92" width="4.28515625" style="15" customWidth="1"/>
    <col min="93" max="16384" width="9.140625" style="15"/>
  </cols>
  <sheetData>
    <row r="1" spans="1:97" x14ac:dyDescent="0.2">
      <c r="C1" s="279"/>
      <c r="D1" s="279"/>
      <c r="E1" s="279"/>
      <c r="F1" s="279"/>
      <c r="G1" s="279"/>
      <c r="I1" s="279"/>
      <c r="J1" s="279"/>
      <c r="K1" s="279"/>
      <c r="L1" s="279"/>
      <c r="M1" s="279"/>
      <c r="O1" s="279"/>
      <c r="P1" s="279"/>
      <c r="Q1" s="279"/>
      <c r="R1" s="279"/>
      <c r="S1" s="279"/>
      <c r="U1" s="279"/>
      <c r="V1" s="279"/>
      <c r="W1" s="279"/>
      <c r="X1" s="279"/>
      <c r="Y1" s="279"/>
      <c r="AA1" s="279"/>
      <c r="AB1" s="279"/>
      <c r="AC1" s="279"/>
      <c r="AD1" s="279"/>
      <c r="AE1" s="279"/>
      <c r="AG1" s="279"/>
      <c r="AH1" s="279"/>
      <c r="AI1" s="279"/>
      <c r="AJ1" s="279"/>
      <c r="AK1" s="279"/>
      <c r="AM1" s="279"/>
      <c r="AN1" s="279"/>
      <c r="AO1" s="279"/>
      <c r="AP1" s="279"/>
      <c r="AQ1" s="279"/>
      <c r="AS1" s="279"/>
      <c r="AT1" s="279"/>
      <c r="AU1" s="279"/>
      <c r="AV1" s="279"/>
      <c r="AW1" s="279"/>
      <c r="AY1" s="279"/>
      <c r="AZ1" s="279"/>
      <c r="BA1" s="279"/>
      <c r="BB1" s="279"/>
      <c r="BC1" s="279"/>
      <c r="BE1" s="279"/>
      <c r="BF1" s="279"/>
      <c r="BG1" s="279"/>
      <c r="BH1" s="279"/>
      <c r="BI1" s="279"/>
      <c r="BK1" s="279"/>
      <c r="BL1" s="279"/>
      <c r="BM1" s="279"/>
      <c r="BN1" s="279"/>
      <c r="BO1" s="279"/>
      <c r="BQ1" s="279"/>
      <c r="BR1" s="279"/>
      <c r="BS1" s="279"/>
      <c r="BT1" s="279"/>
      <c r="BU1" s="279"/>
      <c r="BW1" s="279"/>
      <c r="BX1" s="279"/>
      <c r="BY1" s="279"/>
      <c r="BZ1" s="279"/>
      <c r="CA1" s="279"/>
      <c r="CC1" s="279"/>
      <c r="CD1" s="279"/>
      <c r="CE1" s="279"/>
      <c r="CF1" s="279"/>
      <c r="CG1" s="279"/>
      <c r="CI1" s="279"/>
      <c r="CJ1" s="279"/>
      <c r="CK1" s="279"/>
      <c r="CL1" s="279"/>
      <c r="CM1" s="279"/>
    </row>
    <row r="2" spans="1:97" x14ac:dyDescent="0.2">
      <c r="AQ2" s="96"/>
      <c r="AW2" s="96"/>
      <c r="BC2" s="96"/>
      <c r="BI2" s="96"/>
      <c r="BO2" s="96"/>
      <c r="BU2" s="96"/>
      <c r="BW2" s="275"/>
      <c r="BX2" s="275"/>
      <c r="BY2" s="275"/>
      <c r="BZ2" s="275"/>
      <c r="CA2" s="275"/>
      <c r="CC2" s="275"/>
      <c r="CD2" s="275"/>
      <c r="CE2" s="275"/>
      <c r="CF2" s="275"/>
      <c r="CG2" s="275"/>
      <c r="CI2" s="275"/>
      <c r="CJ2" s="275"/>
      <c r="CK2" s="275"/>
      <c r="CL2" s="275"/>
      <c r="CM2" s="275"/>
    </row>
    <row r="3" spans="1:97" s="104" customFormat="1" x14ac:dyDescent="0.2">
      <c r="A3" s="110" t="s">
        <v>154</v>
      </c>
      <c r="C3" s="280" t="s">
        <v>112</v>
      </c>
      <c r="D3" s="281"/>
      <c r="E3" s="281"/>
      <c r="F3" s="281"/>
      <c r="G3" s="281"/>
      <c r="I3" s="280" t="s">
        <v>113</v>
      </c>
      <c r="J3" s="281"/>
      <c r="K3" s="281"/>
      <c r="L3" s="281"/>
      <c r="M3" s="281"/>
      <c r="O3" s="280" t="s">
        <v>114</v>
      </c>
      <c r="P3" s="281"/>
      <c r="Q3" s="281"/>
      <c r="R3" s="281"/>
      <c r="S3" s="281"/>
      <c r="U3" s="280" t="s">
        <v>115</v>
      </c>
      <c r="V3" s="281"/>
      <c r="W3" s="281"/>
      <c r="X3" s="281"/>
      <c r="Y3" s="281"/>
      <c r="AA3" s="280" t="s">
        <v>116</v>
      </c>
      <c r="AB3" s="281"/>
      <c r="AC3" s="281"/>
      <c r="AD3" s="281"/>
      <c r="AE3" s="281"/>
      <c r="AG3" s="280" t="s">
        <v>117</v>
      </c>
      <c r="AH3" s="281"/>
      <c r="AI3" s="281"/>
      <c r="AJ3" s="281"/>
      <c r="AK3" s="281"/>
      <c r="AM3" s="280" t="s">
        <v>122</v>
      </c>
      <c r="AN3" s="281"/>
      <c r="AO3" s="281"/>
      <c r="AP3" s="281"/>
      <c r="AQ3" s="281"/>
      <c r="AS3" s="280" t="s">
        <v>121</v>
      </c>
      <c r="AT3" s="281"/>
      <c r="AU3" s="281"/>
      <c r="AV3" s="281"/>
      <c r="AW3" s="281"/>
      <c r="AY3" s="280" t="s">
        <v>120</v>
      </c>
      <c r="AZ3" s="281"/>
      <c r="BA3" s="281"/>
      <c r="BB3" s="281"/>
      <c r="BC3" s="281"/>
      <c r="BE3" s="280" t="s">
        <v>119</v>
      </c>
      <c r="BF3" s="281"/>
      <c r="BG3" s="281"/>
      <c r="BH3" s="281"/>
      <c r="BI3" s="281"/>
      <c r="BK3" s="280" t="s">
        <v>118</v>
      </c>
      <c r="BL3" s="281"/>
      <c r="BM3" s="281"/>
      <c r="BN3" s="281"/>
      <c r="BO3" s="281"/>
      <c r="BQ3" s="280" t="s">
        <v>133</v>
      </c>
      <c r="BR3" s="281"/>
      <c r="BS3" s="281"/>
      <c r="BT3" s="281"/>
      <c r="BU3" s="281"/>
      <c r="BW3" s="280" t="s">
        <v>161</v>
      </c>
      <c r="BX3" s="281"/>
      <c r="BY3" s="281"/>
      <c r="BZ3" s="281"/>
      <c r="CA3" s="281"/>
      <c r="CC3" s="280" t="s">
        <v>175</v>
      </c>
      <c r="CD3" s="281"/>
      <c r="CE3" s="281"/>
      <c r="CF3" s="281"/>
      <c r="CG3" s="281"/>
      <c r="CI3" s="280" t="s">
        <v>179</v>
      </c>
      <c r="CJ3" s="281"/>
      <c r="CK3" s="281"/>
      <c r="CL3" s="281"/>
      <c r="CM3" s="281"/>
      <c r="CO3" s="280" t="s">
        <v>181</v>
      </c>
      <c r="CP3" s="281"/>
      <c r="CQ3" s="281"/>
      <c r="CR3" s="281"/>
      <c r="CS3" s="281"/>
    </row>
    <row r="4" spans="1:97" s="184" customFormat="1" x14ac:dyDescent="0.2">
      <c r="A4" s="183" t="s">
        <v>172</v>
      </c>
      <c r="C4" s="185" t="s">
        <v>10</v>
      </c>
      <c r="D4" s="185" t="s">
        <v>11</v>
      </c>
      <c r="E4" s="185" t="s">
        <v>12</v>
      </c>
      <c r="F4" s="185" t="s">
        <v>13</v>
      </c>
      <c r="G4" s="185" t="s">
        <v>14</v>
      </c>
      <c r="I4" s="185" t="s">
        <v>10</v>
      </c>
      <c r="J4" s="185" t="s">
        <v>11</v>
      </c>
      <c r="K4" s="185" t="s">
        <v>12</v>
      </c>
      <c r="L4" s="185" t="s">
        <v>13</v>
      </c>
      <c r="M4" s="185" t="s">
        <v>14</v>
      </c>
      <c r="O4" s="185" t="s">
        <v>10</v>
      </c>
      <c r="P4" s="185" t="s">
        <v>11</v>
      </c>
      <c r="Q4" s="185" t="s">
        <v>12</v>
      </c>
      <c r="R4" s="185" t="s">
        <v>13</v>
      </c>
      <c r="S4" s="185" t="s">
        <v>14</v>
      </c>
      <c r="U4" s="185" t="s">
        <v>10</v>
      </c>
      <c r="V4" s="185" t="s">
        <v>11</v>
      </c>
      <c r="W4" s="185" t="s">
        <v>12</v>
      </c>
      <c r="X4" s="185" t="s">
        <v>13</v>
      </c>
      <c r="Y4" s="185" t="s">
        <v>14</v>
      </c>
      <c r="AA4" s="185" t="s">
        <v>10</v>
      </c>
      <c r="AB4" s="185" t="s">
        <v>11</v>
      </c>
      <c r="AC4" s="185" t="s">
        <v>12</v>
      </c>
      <c r="AD4" s="185" t="s">
        <v>13</v>
      </c>
      <c r="AE4" s="185" t="s">
        <v>14</v>
      </c>
      <c r="AG4" s="185" t="s">
        <v>10</v>
      </c>
      <c r="AH4" s="185" t="s">
        <v>11</v>
      </c>
      <c r="AI4" s="185" t="s">
        <v>12</v>
      </c>
      <c r="AJ4" s="185" t="s">
        <v>13</v>
      </c>
      <c r="AK4" s="185" t="s">
        <v>14</v>
      </c>
      <c r="AM4" s="185" t="s">
        <v>10</v>
      </c>
      <c r="AN4" s="185" t="s">
        <v>11</v>
      </c>
      <c r="AO4" s="185" t="s">
        <v>12</v>
      </c>
      <c r="AP4" s="185" t="s">
        <v>13</v>
      </c>
      <c r="AQ4" s="185" t="s">
        <v>14</v>
      </c>
      <c r="AS4" s="185" t="s">
        <v>10</v>
      </c>
      <c r="AT4" s="185" t="s">
        <v>11</v>
      </c>
      <c r="AU4" s="185" t="s">
        <v>12</v>
      </c>
      <c r="AV4" s="185" t="s">
        <v>13</v>
      </c>
      <c r="AW4" s="185" t="s">
        <v>14</v>
      </c>
      <c r="AY4" s="185" t="s">
        <v>10</v>
      </c>
      <c r="AZ4" s="185" t="s">
        <v>11</v>
      </c>
      <c r="BA4" s="185" t="s">
        <v>12</v>
      </c>
      <c r="BB4" s="185" t="s">
        <v>13</v>
      </c>
      <c r="BC4" s="185" t="s">
        <v>14</v>
      </c>
      <c r="BE4" s="185" t="s">
        <v>10</v>
      </c>
      <c r="BF4" s="185" t="s">
        <v>11</v>
      </c>
      <c r="BG4" s="185" t="s">
        <v>12</v>
      </c>
      <c r="BH4" s="185" t="s">
        <v>13</v>
      </c>
      <c r="BI4" s="185" t="s">
        <v>14</v>
      </c>
      <c r="BK4" s="186" t="s">
        <v>10</v>
      </c>
      <c r="BL4" s="186" t="s">
        <v>11</v>
      </c>
      <c r="BM4" s="186" t="s">
        <v>12</v>
      </c>
      <c r="BN4" s="186" t="s">
        <v>13</v>
      </c>
      <c r="BO4" s="186" t="s">
        <v>14</v>
      </c>
      <c r="BP4" s="183"/>
      <c r="BQ4" s="186" t="s">
        <v>10</v>
      </c>
      <c r="BR4" s="186" t="s">
        <v>11</v>
      </c>
      <c r="BS4" s="186" t="s">
        <v>12</v>
      </c>
      <c r="BT4" s="186" t="s">
        <v>13</v>
      </c>
      <c r="BU4" s="186" t="s">
        <v>14</v>
      </c>
      <c r="BV4" s="183"/>
      <c r="BW4" s="186" t="s">
        <v>10</v>
      </c>
      <c r="BX4" s="186" t="s">
        <v>11</v>
      </c>
      <c r="BY4" s="186" t="s">
        <v>12</v>
      </c>
      <c r="BZ4" s="186" t="s">
        <v>13</v>
      </c>
      <c r="CA4" s="186" t="s">
        <v>14</v>
      </c>
      <c r="CC4" s="186" t="s">
        <v>10</v>
      </c>
      <c r="CD4" s="186" t="s">
        <v>11</v>
      </c>
      <c r="CE4" s="186" t="s">
        <v>12</v>
      </c>
      <c r="CF4" s="186" t="s">
        <v>13</v>
      </c>
      <c r="CG4" s="186" t="s">
        <v>14</v>
      </c>
      <c r="CI4" s="186" t="s">
        <v>10</v>
      </c>
      <c r="CJ4" s="186" t="s">
        <v>11</v>
      </c>
      <c r="CK4" s="186" t="s">
        <v>12</v>
      </c>
      <c r="CL4" s="186" t="s">
        <v>13</v>
      </c>
      <c r="CM4" s="186" t="s">
        <v>14</v>
      </c>
      <c r="CO4" s="186" t="s">
        <v>10</v>
      </c>
      <c r="CP4" s="186" t="s">
        <v>11</v>
      </c>
      <c r="CQ4" s="186" t="s">
        <v>12</v>
      </c>
      <c r="CR4" s="186" t="s">
        <v>13</v>
      </c>
      <c r="CS4" s="186" t="s">
        <v>14</v>
      </c>
    </row>
    <row r="5" spans="1:97" s="104" customFormat="1" x14ac:dyDescent="0.2">
      <c r="G5" s="121"/>
      <c r="M5" s="121"/>
      <c r="S5" s="121"/>
      <c r="Y5" s="121"/>
      <c r="AE5" s="121"/>
      <c r="AK5" s="121"/>
      <c r="AQ5" s="121"/>
      <c r="AW5" s="121"/>
      <c r="BC5" s="121"/>
      <c r="BI5" s="121"/>
      <c r="BO5" s="121"/>
      <c r="BU5" s="121"/>
      <c r="CA5" s="121"/>
      <c r="CG5" s="121"/>
      <c r="CM5" s="121"/>
      <c r="CS5" s="121"/>
    </row>
    <row r="6" spans="1:97" x14ac:dyDescent="0.2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  <c r="CC6" s="15">
        <v>15.8</v>
      </c>
      <c r="CD6" s="15">
        <v>25.6</v>
      </c>
      <c r="CE6" s="15">
        <v>17.8</v>
      </c>
      <c r="CF6" s="15">
        <v>-9.4</v>
      </c>
      <c r="CG6" s="39">
        <f>SUM(CC6:CF6)</f>
        <v>49.800000000000004</v>
      </c>
      <c r="CI6" s="15">
        <v>0.2</v>
      </c>
      <c r="CJ6" s="15">
        <v>9.4</v>
      </c>
      <c r="CK6" s="15">
        <v>5.9</v>
      </c>
      <c r="CL6" s="15">
        <v>2.2000000000000002</v>
      </c>
      <c r="CM6" s="39">
        <f>SUM(CI6:CL6)</f>
        <v>17.7</v>
      </c>
      <c r="CO6" s="15">
        <v>8</v>
      </c>
      <c r="CS6" s="39">
        <f>SUM(CO6:CR6)</f>
        <v>8</v>
      </c>
    </row>
    <row r="7" spans="1:97" x14ac:dyDescent="0.2">
      <c r="A7" s="15" t="s">
        <v>68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f>0.9+0.9</f>
        <v>1.8</v>
      </c>
      <c r="BU7" s="39">
        <f>SUM(BQ7:BT7)</f>
        <v>-4.3999999999999995</v>
      </c>
      <c r="BW7" s="15">
        <f>+' Financial Highlights'!BW15</f>
        <v>-4.4000000000000004</v>
      </c>
      <c r="BX7" s="15">
        <f>+' Financial Highlights'!BX15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  <c r="CC7" s="15">
        <v>-2.2999999999999998</v>
      </c>
      <c r="CD7" s="15">
        <v>-1.3</v>
      </c>
      <c r="CE7" s="15">
        <v>-2.8</v>
      </c>
      <c r="CF7" s="15">
        <v>-1.9</v>
      </c>
      <c r="CG7" s="39">
        <f>SUM(CC7:CF7)</f>
        <v>-8.2999999999999989</v>
      </c>
      <c r="CI7" s="15">
        <v>-2</v>
      </c>
      <c r="CJ7" s="15">
        <v>-1.8</v>
      </c>
      <c r="CK7" s="15">
        <v>-2.4</v>
      </c>
      <c r="CL7" s="15">
        <v>-6</v>
      </c>
      <c r="CM7" s="39">
        <f>SUM(CI7:CL7)</f>
        <v>-12.2</v>
      </c>
      <c r="CO7" s="15">
        <v>-7.1</v>
      </c>
      <c r="CS7" s="39">
        <f>SUM(CO7:CR7)</f>
        <v>-7.1</v>
      </c>
    </row>
    <row r="8" spans="1:97" x14ac:dyDescent="0.2">
      <c r="A8" s="15" t="s">
        <v>69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  <c r="CD8" s="16"/>
      <c r="CE8" s="16"/>
      <c r="CF8" s="16"/>
      <c r="CG8" s="39"/>
      <c r="CJ8" s="16"/>
      <c r="CK8" s="16"/>
      <c r="CL8" s="16"/>
      <c r="CM8" s="39"/>
      <c r="CP8" s="16"/>
      <c r="CQ8" s="16"/>
      <c r="CR8" s="16"/>
      <c r="CS8" s="39"/>
    </row>
    <row r="9" spans="1:97" ht="12.75" customHeight="1" x14ac:dyDescent="0.2">
      <c r="A9" s="15" t="s">
        <v>70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  <c r="CD9" s="16"/>
      <c r="CE9" s="16"/>
      <c r="CF9" s="16"/>
      <c r="CG9" s="39"/>
      <c r="CJ9" s="16"/>
      <c r="CK9" s="16"/>
      <c r="CL9" s="16"/>
      <c r="CM9" s="39"/>
      <c r="CP9" s="16"/>
      <c r="CQ9" s="16"/>
      <c r="CR9" s="16"/>
      <c r="CS9" s="39"/>
    </row>
    <row r="10" spans="1:97" s="96" customFormat="1" ht="12.75" customHeight="1" x14ac:dyDescent="0.2">
      <c r="A10" s="15" t="s">
        <v>124</v>
      </c>
      <c r="B10" s="15"/>
      <c r="C10" s="104">
        <v>-40</v>
      </c>
      <c r="D10" s="104">
        <v>-20.805369127516776</v>
      </c>
      <c r="E10" s="104">
        <v>-17.986577181208052</v>
      </c>
      <c r="F10" s="104">
        <v>-8.4563758389261743</v>
      </c>
      <c r="G10" s="39">
        <f>SUM(C10:F10)</f>
        <v>-87.24832214765101</v>
      </c>
      <c r="H10" s="15"/>
      <c r="I10" s="104">
        <v>-50.738255033557046</v>
      </c>
      <c r="J10" s="104">
        <v>-37.852348993288587</v>
      </c>
      <c r="K10" s="104">
        <v>-8.0536912751677843</v>
      </c>
      <c r="L10" s="104">
        <v>1.6107382550335569</v>
      </c>
      <c r="M10" s="39">
        <f>SUM(I10:L10)</f>
        <v>-95.033557046979851</v>
      </c>
      <c r="N10" s="15"/>
      <c r="O10" s="104">
        <v>-23.48993288590604</v>
      </c>
      <c r="P10" s="104">
        <v>-31.409395973154361</v>
      </c>
      <c r="Q10" s="104">
        <v>16.778523489932887</v>
      </c>
      <c r="R10" s="104">
        <v>21.208053691275168</v>
      </c>
      <c r="S10" s="39">
        <f>SUM(O10:R10)</f>
        <v>-16.912751677852349</v>
      </c>
      <c r="T10" s="15"/>
      <c r="U10" s="104">
        <v>-68.859060402684563</v>
      </c>
      <c r="V10" s="104">
        <v>-55.838926174496642</v>
      </c>
      <c r="W10" s="104">
        <v>-12.885906040268456</v>
      </c>
      <c r="X10" s="111">
        <v>106.84563758389261</v>
      </c>
      <c r="Y10" s="39">
        <f>SUM(U10:X10)</f>
        <v>-30.738255033557053</v>
      </c>
      <c r="Z10" s="15"/>
      <c r="AA10" s="111">
        <v>10.067114093959731</v>
      </c>
      <c r="AB10" s="111">
        <v>-25.503355704697984</v>
      </c>
      <c r="AC10" s="111">
        <v>0.26845637583892618</v>
      </c>
      <c r="AD10" s="111">
        <v>4.9664429530201337</v>
      </c>
      <c r="AE10" s="39">
        <f>SUM(AA10:AD10)</f>
        <v>-10.201342281879192</v>
      </c>
      <c r="AG10" s="111">
        <v>-54.630872483221474</v>
      </c>
      <c r="AH10" s="111">
        <v>-66.979865771812072</v>
      </c>
      <c r="AI10" s="111">
        <f>(-18-3-336)/7.45</f>
        <v>-47.919463087248324</v>
      </c>
      <c r="AJ10" s="111">
        <v>16.778523489932887</v>
      </c>
      <c r="AK10" s="39">
        <f>SUM(AG10:AJ10)</f>
        <v>-152.75167785234896</v>
      </c>
      <c r="AM10" s="111">
        <v>-84.026845637583889</v>
      </c>
      <c r="AN10" s="111">
        <v>-10.335570469798657</v>
      </c>
      <c r="AO10" s="111">
        <v>25.906040268456376</v>
      </c>
      <c r="AP10" s="111">
        <v>46.308724832214764</v>
      </c>
      <c r="AQ10" s="39">
        <f>SUM(AM10:AP10)</f>
        <v>-22.147651006711399</v>
      </c>
      <c r="AS10" s="111">
        <v>-19.060402684563758</v>
      </c>
      <c r="AT10" s="111">
        <v>-14.899328859060402</v>
      </c>
      <c r="AU10" s="111">
        <v>-22.14765100671141</v>
      </c>
      <c r="AV10" s="111">
        <v>97.583892617449663</v>
      </c>
      <c r="AW10" s="39">
        <f>SUM(AS10:AV10)</f>
        <v>41.476510067114091</v>
      </c>
      <c r="AY10" s="111">
        <v>-92.617449664429529</v>
      </c>
      <c r="AZ10" s="111">
        <v>-33.422818791946305</v>
      </c>
      <c r="BA10" s="111">
        <v>20.268456375838927</v>
      </c>
      <c r="BB10" s="111">
        <v>52.348993288590606</v>
      </c>
      <c r="BC10" s="39">
        <f>SUM(AY10:BB10)</f>
        <v>-53.422818791946298</v>
      </c>
      <c r="BE10" s="111">
        <v>-9.6644295302013425</v>
      </c>
      <c r="BF10" s="111">
        <v>-11.543624161073826</v>
      </c>
      <c r="BG10" s="111">
        <v>-10.201342281879194</v>
      </c>
      <c r="BH10" s="111">
        <v>114.76510067114094</v>
      </c>
      <c r="BI10" s="39">
        <f>SUM(BE10:BH10)</f>
        <v>83.355704697986582</v>
      </c>
      <c r="BK10" s="111">
        <v>-22.281879194630871</v>
      </c>
      <c r="BL10" s="111">
        <f>(-65-281)/7.45</f>
        <v>-46.442953020134226</v>
      </c>
      <c r="BM10" s="111">
        <v>6.9798657718120802</v>
      </c>
      <c r="BN10" s="111">
        <v>89</v>
      </c>
      <c r="BO10" s="39">
        <f>SUM(BK10:BN10)</f>
        <v>27.255033557046978</v>
      </c>
      <c r="BQ10" s="111">
        <f>-38.3-5.5</f>
        <v>-43.8</v>
      </c>
      <c r="BR10" s="111">
        <v>-19.2</v>
      </c>
      <c r="BS10" s="111">
        <v>44</v>
      </c>
      <c r="BT10" s="111">
        <f>53.5-0.9</f>
        <v>52.6</v>
      </c>
      <c r="BU10" s="39">
        <f>SUM(BQ10:BT10)</f>
        <v>33.6</v>
      </c>
      <c r="BW10" s="111">
        <f>-10.9-55.1</f>
        <v>-66</v>
      </c>
      <c r="BX10" s="111">
        <f>-51.9+4.9</f>
        <v>-47</v>
      </c>
      <c r="BY10" s="111">
        <f>-13.1+10.5</f>
        <v>-2.5999999999999996</v>
      </c>
      <c r="BZ10" s="111">
        <f>115.6-11.8-18.1-32.1-5.6</f>
        <v>47.999999999999986</v>
      </c>
      <c r="CA10" s="39">
        <f>SUM(BW10:BZ10)</f>
        <v>-67.600000000000009</v>
      </c>
      <c r="CC10" s="111">
        <f>-10.4-134.9</f>
        <v>-145.30000000000001</v>
      </c>
      <c r="CD10" s="111">
        <f>-7.4+19.5</f>
        <v>12.1</v>
      </c>
      <c r="CE10" s="111">
        <f>-0.8-49</f>
        <v>-49.8</v>
      </c>
      <c r="CF10" s="111">
        <f>183-10.8-76+3.1</f>
        <v>99.299999999999983</v>
      </c>
      <c r="CG10" s="39">
        <f>SUM(CC10:CF10)</f>
        <v>-83.700000000000017</v>
      </c>
      <c r="CI10" s="111">
        <f>-7.1-47.9+2.2</f>
        <v>-52.8</v>
      </c>
      <c r="CJ10" s="111">
        <f>2.5+14.7-1.7</f>
        <v>15.5</v>
      </c>
      <c r="CK10" s="111">
        <f>-3.3+12.9-2.1</f>
        <v>7.5000000000000018</v>
      </c>
      <c r="CL10" s="111">
        <v>149.30000000000001</v>
      </c>
      <c r="CM10" s="39">
        <f>SUM(CI10:CL10)</f>
        <v>119.50000000000001</v>
      </c>
      <c r="CO10" s="111">
        <f>-6.3-115.5-0.6</f>
        <v>-122.39999999999999</v>
      </c>
      <c r="CP10" s="111"/>
      <c r="CQ10" s="111"/>
      <c r="CR10" s="111"/>
      <c r="CS10" s="39">
        <f>SUM(CO10:CR10)</f>
        <v>-122.39999999999999</v>
      </c>
    </row>
    <row r="11" spans="1:97" s="115" customFormat="1" ht="15.75" customHeight="1" x14ac:dyDescent="0.2">
      <c r="A11" s="112" t="s">
        <v>56</v>
      </c>
      <c r="B11" s="112"/>
      <c r="C11" s="112">
        <f>SUM(C6:C10)</f>
        <v>-25.234899328859058</v>
      </c>
      <c r="D11" s="112">
        <f>SUM(D6:D10)</f>
        <v>2.6845637583892632</v>
      </c>
      <c r="E11" s="112">
        <f>SUM(E6:E10)</f>
        <v>7.3825503355704711</v>
      </c>
      <c r="F11" s="112">
        <f>SUM(F6:F10)</f>
        <v>20.671140939597315</v>
      </c>
      <c r="G11" s="113">
        <f>SUM(G6:G10)</f>
        <v>5.5033557046979809</v>
      </c>
      <c r="H11" s="112"/>
      <c r="I11" s="112">
        <f>SUM(I6:I10)</f>
        <v>-28.993288590604028</v>
      </c>
      <c r="J11" s="112">
        <f>SUM(J6:J10)</f>
        <v>10.604026845637584</v>
      </c>
      <c r="K11" s="112">
        <f>SUM(K6:K10)</f>
        <v>24.966442953020135</v>
      </c>
      <c r="L11" s="112">
        <f>SUM(L6:L10)</f>
        <v>28.993288590604024</v>
      </c>
      <c r="M11" s="113">
        <f>SUM(M6:M10)</f>
        <v>35.570469798657726</v>
      </c>
      <c r="N11" s="112"/>
      <c r="O11" s="112">
        <f>SUM(O6:O10)</f>
        <v>6.7114093959731562</v>
      </c>
      <c r="P11" s="112">
        <f>SUM(P6:P10)</f>
        <v>18.791946308724832</v>
      </c>
      <c r="Q11" s="112">
        <f>SUM(Q6:Q10)</f>
        <v>57.04697986577181</v>
      </c>
      <c r="R11" s="112">
        <f>SUM(R6:R10)</f>
        <v>73.422818791946312</v>
      </c>
      <c r="S11" s="113">
        <f>SUM(S6:S10)</f>
        <v>155.9731543624161</v>
      </c>
      <c r="T11" s="112"/>
      <c r="U11" s="112">
        <f>SUM(U6:U10)</f>
        <v>-33.557046979865774</v>
      </c>
      <c r="V11" s="112">
        <f>SUM(V6:V10)</f>
        <v>-3.0872483221476514</v>
      </c>
      <c r="W11" s="112">
        <f>SUM(W6:W10)</f>
        <v>24.026845637583893</v>
      </c>
      <c r="X11" s="114">
        <f>SUM(X6:X10)</f>
        <v>115.03355704697987</v>
      </c>
      <c r="Y11" s="113">
        <f>SUM(Y6:Y10)</f>
        <v>102.41610738255035</v>
      </c>
      <c r="Z11" s="112"/>
      <c r="AA11" s="112">
        <f>SUM(AA6:AA10)</f>
        <v>22.456375838926171</v>
      </c>
      <c r="AB11" s="112">
        <f>SUM(AB6:AB10)</f>
        <v>2.8187919463087283</v>
      </c>
      <c r="AC11" s="114">
        <f>SUM(AC6:AC10)</f>
        <v>27.248322147651006</v>
      </c>
      <c r="AD11" s="114">
        <f>SUM(AD6:AD10)</f>
        <v>25.63758389261745</v>
      </c>
      <c r="AE11" s="113">
        <f>SUM(AE6:AE10)</f>
        <v>78.161073825503365</v>
      </c>
      <c r="AG11" s="112">
        <f>SUM(AG6:AG10)</f>
        <v>-29.664429530201343</v>
      </c>
      <c r="AH11" s="114">
        <f>SUM(AH6:AH10)</f>
        <v>-35.302013422818789</v>
      </c>
      <c r="AI11" s="114">
        <f>SUM(AI6:AI10)</f>
        <v>-20.134228187919462</v>
      </c>
      <c r="AJ11" s="114">
        <f>SUM(AJ6:AJ10)</f>
        <v>34.899328859060404</v>
      </c>
      <c r="AK11" s="113">
        <f>SUM(AK6:AK10)</f>
        <v>-50.201342281879164</v>
      </c>
      <c r="AM11" s="112">
        <f>SUM(AM6:AM10)</f>
        <v>-60.805369127516776</v>
      </c>
      <c r="AN11" s="114">
        <f>SUM(AN6:AN10)</f>
        <v>9.6644295302013425</v>
      </c>
      <c r="AO11" s="114">
        <f>SUM(AO6:AO10)</f>
        <v>53.557046979865774</v>
      </c>
      <c r="AP11" s="114">
        <f>SUM(AP6:AP10)</f>
        <v>72.483221476510067</v>
      </c>
      <c r="AQ11" s="113">
        <f>SUM(AQ6:AQ10)</f>
        <v>74.899328859060418</v>
      </c>
      <c r="AS11" s="112">
        <f>SUM(AS6:AS10)</f>
        <v>3.6241610738255048</v>
      </c>
      <c r="AT11" s="114">
        <f>SUM(AT6:AT10)</f>
        <v>8.8590604026845643</v>
      </c>
      <c r="AU11" s="114">
        <f>SUM(AU6:AU10)</f>
        <v>4.0268456375838895</v>
      </c>
      <c r="AV11" s="114">
        <f>SUM(AV6:AV10)</f>
        <v>134.09395973154363</v>
      </c>
      <c r="AW11" s="113">
        <f>SUM(AW6:AW10)</f>
        <v>150.60402684563758</v>
      </c>
      <c r="AY11" s="112">
        <f>SUM(AY6:AY10)</f>
        <v>-69.932885906040269</v>
      </c>
      <c r="AZ11" s="112">
        <f>SUM(AZ6:AZ10)</f>
        <v>-1.3422818791946298</v>
      </c>
      <c r="BA11" s="112">
        <f>SUM(BA6:BA10)</f>
        <v>47.785234899328856</v>
      </c>
      <c r="BB11" s="112">
        <f>SUM(BB6:BB10)</f>
        <v>96.644295302013418</v>
      </c>
      <c r="BC11" s="113">
        <f>SUM(BC6:BC10)</f>
        <v>73.154362416107375</v>
      </c>
      <c r="BE11" s="112">
        <f>SUM(BE6:BE10)</f>
        <v>26.711409395973153</v>
      </c>
      <c r="BF11" s="112">
        <f>SUM(BF6:BF10)</f>
        <v>14.630872483221474</v>
      </c>
      <c r="BG11" s="112">
        <f>SUM(BG6:BG10)</f>
        <v>17.31543624161074</v>
      </c>
      <c r="BH11" s="112">
        <f>SUM(BH6:BH10)</f>
        <v>153.82550335570471</v>
      </c>
      <c r="BI11" s="113">
        <f>SUM(BI6:BI10)</f>
        <v>212.48322147651004</v>
      </c>
      <c r="BK11" s="112">
        <f>SUM(BK6:BK10)</f>
        <v>12.751677852348994</v>
      </c>
      <c r="BL11" s="112">
        <f>SUM(BL6:BL10)</f>
        <v>5.3691275167785193</v>
      </c>
      <c r="BM11" s="112">
        <f>SUM(BM6:BM10)</f>
        <v>35.70469798657718</v>
      </c>
      <c r="BN11" s="112">
        <f>SUM(BN6:BN10)</f>
        <v>119.4</v>
      </c>
      <c r="BO11" s="113">
        <f>SUM(BO6:BO10)</f>
        <v>173.22550335570472</v>
      </c>
      <c r="BQ11" s="112">
        <f>SUM(BQ6:BQ10)</f>
        <v>-9.0990000000000038</v>
      </c>
      <c r="BR11" s="112">
        <f>SUM(BR6:BR10)</f>
        <v>28.7</v>
      </c>
      <c r="BS11" s="112">
        <f>SUM(BS6:BS10)</f>
        <v>48.1</v>
      </c>
      <c r="BT11" s="112">
        <f>SUM(BT6:BT10)</f>
        <v>86.2</v>
      </c>
      <c r="BU11" s="113">
        <f>SUM(BU6:BU10)</f>
        <v>153.90099999999998</v>
      </c>
      <c r="BW11" s="112">
        <f>SUM(BW6:BW10)</f>
        <v>-38.4</v>
      </c>
      <c r="BX11" s="112">
        <f>SUM(BX6:BX10)</f>
        <v>16.800000000000004</v>
      </c>
      <c r="BY11" s="112">
        <f>SUM(BY6:BY10)</f>
        <v>46.7</v>
      </c>
      <c r="BZ11" s="112">
        <f>SUM(BZ6:BZ10)</f>
        <v>62.699999999999974</v>
      </c>
      <c r="CA11" s="113">
        <f>SUM(CA6:CA10)</f>
        <v>87.8</v>
      </c>
      <c r="CC11" s="112">
        <f>SUM(CC6:CC10)</f>
        <v>-131.80000000000001</v>
      </c>
      <c r="CD11" s="112">
        <f>SUM(CD6:CD10)</f>
        <v>36.4</v>
      </c>
      <c r="CE11" s="112">
        <f>SUM(CE6:CE10)</f>
        <v>-34.799999999999997</v>
      </c>
      <c r="CF11" s="112">
        <f>SUM(CF6:CF10)</f>
        <v>87.999999999999986</v>
      </c>
      <c r="CG11" s="113">
        <f>SUM(CG6:CG10)</f>
        <v>-42.20000000000001</v>
      </c>
      <c r="CI11" s="112">
        <f>SUM(CI6:CI10)</f>
        <v>-54.599999999999994</v>
      </c>
      <c r="CJ11" s="112">
        <f>SUM(CJ6:CJ10)</f>
        <v>23.1</v>
      </c>
      <c r="CK11" s="112">
        <f>SUM(CK6:CK10)</f>
        <v>11.000000000000002</v>
      </c>
      <c r="CL11" s="112">
        <f>SUM(CL6:CL10)</f>
        <v>145.5</v>
      </c>
      <c r="CM11" s="113">
        <f>SUM(CM6:CM10)</f>
        <v>125.00000000000001</v>
      </c>
      <c r="CO11" s="112">
        <f>SUM(CO6:CO10)</f>
        <v>-121.49999999999999</v>
      </c>
      <c r="CP11" s="112"/>
      <c r="CQ11" s="112"/>
      <c r="CR11" s="112"/>
      <c r="CS11" s="113">
        <f>SUM(CS6:CS10)</f>
        <v>-121.49999999999999</v>
      </c>
    </row>
    <row r="12" spans="1:97" s="116" customFormat="1" x14ac:dyDescent="0.2">
      <c r="G12" s="117"/>
      <c r="M12" s="117"/>
      <c r="S12" s="117"/>
      <c r="X12" s="118"/>
      <c r="Y12" s="117"/>
      <c r="AC12" s="118"/>
      <c r="AD12" s="118"/>
      <c r="AE12" s="117"/>
      <c r="AH12" s="118"/>
      <c r="AI12" s="118"/>
      <c r="AJ12" s="118"/>
      <c r="AK12" s="117"/>
      <c r="AN12" s="118"/>
      <c r="AO12" s="118"/>
      <c r="AP12" s="118"/>
      <c r="AQ12" s="117"/>
      <c r="AT12" s="118"/>
      <c r="AU12" s="118"/>
      <c r="AV12" s="118"/>
      <c r="AW12" s="117"/>
      <c r="AZ12" s="118"/>
      <c r="BA12" s="118"/>
      <c r="BB12" s="118"/>
      <c r="BC12" s="117"/>
      <c r="BF12" s="118"/>
      <c r="BG12" s="118"/>
      <c r="BH12" s="118"/>
      <c r="BI12" s="117"/>
      <c r="BL12" s="118"/>
      <c r="BM12" s="118"/>
      <c r="BN12" s="118"/>
      <c r="BO12" s="117"/>
      <c r="BR12" s="118"/>
      <c r="BS12" s="118"/>
      <c r="BT12" s="118"/>
      <c r="BU12" s="117"/>
      <c r="BX12" s="118"/>
      <c r="BY12" s="118"/>
      <c r="BZ12" s="118"/>
      <c r="CA12" s="117"/>
      <c r="CD12" s="118"/>
      <c r="CE12" s="118"/>
      <c r="CF12" s="118"/>
      <c r="CG12" s="117"/>
      <c r="CJ12" s="118"/>
      <c r="CK12" s="118"/>
      <c r="CL12" s="118"/>
      <c r="CM12" s="117"/>
      <c r="CP12" s="118"/>
      <c r="CQ12" s="118"/>
      <c r="CR12" s="118"/>
      <c r="CS12" s="117"/>
    </row>
    <row r="13" spans="1:97" x14ac:dyDescent="0.2">
      <c r="A13" s="15" t="s">
        <v>97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0">SUM(BW13:BZ13)</f>
        <v>-767.7</v>
      </c>
      <c r="CD13" s="16"/>
      <c r="CE13" s="16"/>
      <c r="CF13" s="17"/>
      <c r="CG13" s="39">
        <f t="shared" ref="CG13:CG18" si="1">SUM(CC13:CF13)</f>
        <v>0</v>
      </c>
      <c r="CI13" s="15">
        <v>9.5</v>
      </c>
      <c r="CJ13" s="16">
        <v>-1.8</v>
      </c>
      <c r="CK13" s="16">
        <v>0</v>
      </c>
      <c r="CL13" s="17">
        <v>-5.5</v>
      </c>
      <c r="CM13" s="39">
        <f t="shared" ref="CM13:CM18" si="2">SUM(CI13:CL13)</f>
        <v>2.2000000000000002</v>
      </c>
      <c r="CP13" s="16"/>
      <c r="CQ13" s="16"/>
      <c r="CR13" s="17"/>
      <c r="CS13" s="39">
        <f t="shared" ref="CS13:CS18" si="3">SUM(CO13:CR13)</f>
        <v>0</v>
      </c>
    </row>
    <row r="14" spans="1:97" x14ac:dyDescent="0.2">
      <c r="A14" s="15" t="s">
        <v>173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0"/>
        <v>379.8</v>
      </c>
      <c r="CD14" s="16"/>
      <c r="CE14" s="16"/>
      <c r="CF14" s="17"/>
      <c r="CG14" s="39">
        <f t="shared" si="1"/>
        <v>0</v>
      </c>
      <c r="CJ14" s="16"/>
      <c r="CK14" s="16"/>
      <c r="CL14" s="17"/>
      <c r="CM14" s="39">
        <f t="shared" si="2"/>
        <v>0</v>
      </c>
      <c r="CP14" s="16"/>
      <c r="CQ14" s="16"/>
      <c r="CR14" s="17"/>
      <c r="CS14" s="39">
        <f t="shared" si="3"/>
        <v>0</v>
      </c>
    </row>
    <row r="15" spans="1:97" x14ac:dyDescent="0.2">
      <c r="A15" s="15" t="s">
        <v>71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49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49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49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0"/>
        <v>-50.400000000000006</v>
      </c>
      <c r="CC15" s="15">
        <v>-4.9000000000000004</v>
      </c>
      <c r="CD15" s="16">
        <f>-4.8-0.1</f>
        <v>-4.8999999999999995</v>
      </c>
      <c r="CE15" s="16">
        <f>-6.1-0.2</f>
        <v>-6.3</v>
      </c>
      <c r="CF15" s="17">
        <f>-12.4+1.2</f>
        <v>-11.200000000000001</v>
      </c>
      <c r="CG15" s="39">
        <f t="shared" si="1"/>
        <v>-27.300000000000004</v>
      </c>
      <c r="CI15" s="15">
        <f>-5.1+0.9</f>
        <v>-4.1999999999999993</v>
      </c>
      <c r="CJ15" s="16">
        <f>-10.7+0.4</f>
        <v>-10.299999999999999</v>
      </c>
      <c r="CK15" s="16">
        <f>-7.9+0.4</f>
        <v>-7.5</v>
      </c>
      <c r="CL15" s="17">
        <v>-11.2</v>
      </c>
      <c r="CM15" s="39">
        <f t="shared" si="2"/>
        <v>-33.200000000000003</v>
      </c>
      <c r="CO15" s="15">
        <f>-5.7+0.2</f>
        <v>-5.5</v>
      </c>
      <c r="CP15" s="16"/>
      <c r="CQ15" s="16"/>
      <c r="CR15" s="17"/>
      <c r="CS15" s="39">
        <f t="shared" si="3"/>
        <v>-5.5</v>
      </c>
    </row>
    <row r="16" spans="1:97" ht="15" customHeight="1" x14ac:dyDescent="0.2">
      <c r="A16" s="15" t="s">
        <v>96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0"/>
        <v>0</v>
      </c>
      <c r="CD16" s="16"/>
      <c r="CE16" s="16"/>
      <c r="CF16" s="17"/>
      <c r="CG16" s="39">
        <f t="shared" si="1"/>
        <v>0</v>
      </c>
      <c r="CJ16" s="16"/>
      <c r="CK16" s="16"/>
      <c r="CL16" s="17"/>
      <c r="CM16" s="39">
        <f t="shared" si="2"/>
        <v>0</v>
      </c>
      <c r="CP16" s="16"/>
      <c r="CQ16" s="16"/>
      <c r="CR16" s="17"/>
      <c r="CS16" s="39">
        <f t="shared" si="3"/>
        <v>0</v>
      </c>
    </row>
    <row r="17" spans="1:97" x14ac:dyDescent="0.2">
      <c r="A17" s="15" t="s">
        <v>50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0"/>
        <v>0</v>
      </c>
      <c r="CD17" s="16"/>
      <c r="CE17" s="16"/>
      <c r="CF17" s="17"/>
      <c r="CG17" s="39">
        <f t="shared" si="1"/>
        <v>0</v>
      </c>
      <c r="CJ17" s="16"/>
      <c r="CK17" s="16"/>
      <c r="CL17" s="17"/>
      <c r="CM17" s="39">
        <f t="shared" si="2"/>
        <v>0</v>
      </c>
      <c r="CP17" s="16"/>
      <c r="CQ17" s="16"/>
      <c r="CR17" s="17"/>
      <c r="CS17" s="39">
        <f t="shared" si="3"/>
        <v>0</v>
      </c>
    </row>
    <row r="18" spans="1:97" s="96" customFormat="1" ht="12.75" customHeight="1" x14ac:dyDescent="0.2">
      <c r="A18" s="15" t="s">
        <v>89</v>
      </c>
      <c r="B18" s="15"/>
      <c r="C18" s="104">
        <v>-1.6107382550335569</v>
      </c>
      <c r="D18" s="104">
        <v>-1.6107382550335569</v>
      </c>
      <c r="E18" s="104">
        <v>-1.8791946308724832</v>
      </c>
      <c r="F18" s="104">
        <v>-4.1610738255033555</v>
      </c>
      <c r="G18" s="39">
        <f>SUM(C18:F18)</f>
        <v>-9.2617449664429525</v>
      </c>
      <c r="H18" s="15"/>
      <c r="I18" s="104">
        <v>-5.1006711409395971</v>
      </c>
      <c r="J18" s="104">
        <v>-2.8187919463087248</v>
      </c>
      <c r="K18" s="104">
        <v>-3.4899328859060401</v>
      </c>
      <c r="L18" s="104">
        <v>-1.2080536912751678</v>
      </c>
      <c r="M18" s="39">
        <f>SUM(I18:L18)</f>
        <v>-12.617449664429531</v>
      </c>
      <c r="N18" s="15"/>
      <c r="O18" s="104">
        <v>-3.087248322147651</v>
      </c>
      <c r="P18" s="104">
        <v>-6.8456375838926169</v>
      </c>
      <c r="Q18" s="104">
        <v>-3.6241610738255035</v>
      </c>
      <c r="R18" s="104">
        <v>-6.174496644295302</v>
      </c>
      <c r="S18" s="39">
        <f>SUM(O18:R18)</f>
        <v>-19.731543624161073</v>
      </c>
      <c r="T18" s="15"/>
      <c r="U18" s="104">
        <v>-6.8456375838926169</v>
      </c>
      <c r="V18" s="104">
        <v>-4.8322147651006713</v>
      </c>
      <c r="W18" s="111">
        <v>-2.1476510067114094</v>
      </c>
      <c r="X18" s="111">
        <v>-5.9060402684563753</v>
      </c>
      <c r="Y18" s="39">
        <f>SUM(U18:X18)</f>
        <v>-19.731543624161073</v>
      </c>
      <c r="Z18" s="15"/>
      <c r="AA18" s="104">
        <v>-5.2348993288590604</v>
      </c>
      <c r="AB18" s="119">
        <v>-5.5033557046979862</v>
      </c>
      <c r="AC18" s="111">
        <v>-4.8322147651006713</v>
      </c>
      <c r="AD18" s="111">
        <v>-1.3422818791946309</v>
      </c>
      <c r="AE18" s="39">
        <f>SUM(AA18:AD18)</f>
        <v>-16.912751677852349</v>
      </c>
      <c r="AG18" s="104">
        <v>-3.4899328859060401</v>
      </c>
      <c r="AH18" s="111">
        <v>-5.2348993288590604</v>
      </c>
      <c r="AI18" s="111">
        <v>-3.4899328859060401</v>
      </c>
      <c r="AJ18" s="111">
        <v>-8.4563758389261743</v>
      </c>
      <c r="AK18" s="39">
        <f>SUM(AG18:AJ18)</f>
        <v>-20.671140939597315</v>
      </c>
      <c r="AM18" s="104">
        <v>-3.8926174496644292</v>
      </c>
      <c r="AN18" s="111">
        <v>-5.1006711409395971</v>
      </c>
      <c r="AO18" s="111">
        <v>-4.9664429530201337</v>
      </c>
      <c r="AP18" s="111">
        <v>-6.9798657718120802</v>
      </c>
      <c r="AQ18" s="39">
        <f>SUM(AM18:AP18)</f>
        <v>-20.939597315436238</v>
      </c>
      <c r="AS18" s="104">
        <v>-5.2348993288590604</v>
      </c>
      <c r="AT18" s="111">
        <v>-6.9798657718120802</v>
      </c>
      <c r="AU18" s="111">
        <v>-8.1879194630872476</v>
      </c>
      <c r="AV18" s="111">
        <v>-7.3825503355704694</v>
      </c>
      <c r="AW18" s="39">
        <f>SUM(AS18:AV18)</f>
        <v>-27.785234899328856</v>
      </c>
      <c r="AY18" s="104">
        <v>-6.9798657718120802</v>
      </c>
      <c r="AZ18" s="111">
        <v>-7.3825503355704694</v>
      </c>
      <c r="BA18" s="111">
        <v>-5.9060402684563753</v>
      </c>
      <c r="BB18" s="111">
        <v>-9.7986577181208059</v>
      </c>
      <c r="BC18" s="39">
        <f>SUM(AY18:BB18)</f>
        <v>-30.067114093959731</v>
      </c>
      <c r="BE18" s="104">
        <v>-5.9060402684563753</v>
      </c>
      <c r="BF18" s="111">
        <v>-8.1879194630872476</v>
      </c>
      <c r="BG18" s="111">
        <v>-7.2483221476510069</v>
      </c>
      <c r="BH18" s="111">
        <v>-8.3221476510067109</v>
      </c>
      <c r="BI18" s="39">
        <f>SUM(BE18:BH18)</f>
        <v>-29.664429530201339</v>
      </c>
      <c r="BK18" s="104">
        <v>-7.3825503355704694</v>
      </c>
      <c r="BL18" s="111">
        <v>-6.4429530201342278</v>
      </c>
      <c r="BM18" s="111">
        <v>-6.7114093959731544</v>
      </c>
      <c r="BN18" s="111">
        <v>-9.1999999999999993</v>
      </c>
      <c r="BO18" s="39">
        <f>SUM(BK18:BN18)</f>
        <v>-29.736912751677853</v>
      </c>
      <c r="BQ18" s="104">
        <v>-7</v>
      </c>
      <c r="BR18" s="111">
        <v>-10.9</v>
      </c>
      <c r="BS18" s="111">
        <v>-10.8</v>
      </c>
      <c r="BT18" s="111">
        <v>-9.8000000000000007</v>
      </c>
      <c r="BU18" s="39">
        <f>SUM(BQ18:BT18)</f>
        <v>-38.5</v>
      </c>
      <c r="BW18" s="104">
        <v>-9.4</v>
      </c>
      <c r="BX18" s="111">
        <f>-8.6-3.9</f>
        <v>-12.5</v>
      </c>
      <c r="BY18" s="111">
        <v>-12.1</v>
      </c>
      <c r="BZ18" s="119">
        <f>-15.4+5.6</f>
        <v>-9.8000000000000007</v>
      </c>
      <c r="CA18" s="39">
        <f t="shared" si="0"/>
        <v>-43.8</v>
      </c>
      <c r="CC18" s="104">
        <v>-4.7</v>
      </c>
      <c r="CD18" s="111">
        <v>-8.5</v>
      </c>
      <c r="CE18" s="111">
        <v>-4.7</v>
      </c>
      <c r="CF18" s="119">
        <v>-15.7</v>
      </c>
      <c r="CG18" s="39">
        <f t="shared" si="1"/>
        <v>-33.599999999999994</v>
      </c>
      <c r="CI18" s="104">
        <v>-5.4</v>
      </c>
      <c r="CJ18" s="111">
        <v>-10.6</v>
      </c>
      <c r="CK18" s="111">
        <v>-9.8000000000000007</v>
      </c>
      <c r="CL18" s="119">
        <v>-10</v>
      </c>
      <c r="CM18" s="39">
        <f t="shared" si="2"/>
        <v>-35.799999999999997</v>
      </c>
      <c r="CO18" s="104">
        <v>-8.9</v>
      </c>
      <c r="CP18" s="111"/>
      <c r="CQ18" s="111"/>
      <c r="CR18" s="119"/>
      <c r="CS18" s="39">
        <f t="shared" si="3"/>
        <v>-8.9</v>
      </c>
    </row>
    <row r="19" spans="1:97" s="115" customFormat="1" x14ac:dyDescent="0.2">
      <c r="A19" s="112" t="s">
        <v>125</v>
      </c>
      <c r="B19" s="112"/>
      <c r="C19" s="112">
        <f>SUM(C13:C18)</f>
        <v>3.2214765100671143</v>
      </c>
      <c r="D19" s="112">
        <f>SUM(D13:D18)</f>
        <v>-3.624161073825503</v>
      </c>
      <c r="E19" s="112">
        <f>SUM(E13:E18)</f>
        <v>-9.3959731543624159</v>
      </c>
      <c r="F19" s="112">
        <f>SUM(F13:F18)</f>
        <v>-5.9060402684563753</v>
      </c>
      <c r="G19" s="113">
        <f>SUM(G13:G18)</f>
        <v>-15.70469798657718</v>
      </c>
      <c r="H19" s="112"/>
      <c r="I19" s="112">
        <f>SUM(I13:I18)</f>
        <v>-15.436241610738254</v>
      </c>
      <c r="J19" s="112">
        <f>SUM(J13:J18)</f>
        <v>20.805369127516776</v>
      </c>
      <c r="K19" s="112">
        <f>SUM(K13:K18)</f>
        <v>-17.449664429530202</v>
      </c>
      <c r="L19" s="112">
        <f>SUM(L13:L18)</f>
        <v>-14.093959731543624</v>
      </c>
      <c r="M19" s="113">
        <f>SUM(M13:M18)</f>
        <v>-26.174496644295303</v>
      </c>
      <c r="N19" s="112"/>
      <c r="O19" s="112">
        <f>SUM(O13:O18)</f>
        <v>-138.12080536912751</v>
      </c>
      <c r="P19" s="112">
        <f>SUM(P13:P18)</f>
        <v>-32.080536912751676</v>
      </c>
      <c r="Q19" s="112">
        <f>SUM(Q13:Q18)</f>
        <v>-54.765100671140942</v>
      </c>
      <c r="R19" s="112">
        <f>SUM(R13:R18)</f>
        <v>-29.395973154362416</v>
      </c>
      <c r="S19" s="113">
        <f>SUM(S13:S18)</f>
        <v>-254.36241610738253</v>
      </c>
      <c r="T19" s="112"/>
      <c r="U19" s="112">
        <f>SUM(U13:U18)</f>
        <v>8.724832214765101</v>
      </c>
      <c r="V19" s="112">
        <f>SUM(V13:V18)</f>
        <v>-38.120805369127517</v>
      </c>
      <c r="W19" s="112">
        <f>SUM(W13:W18)</f>
        <v>-28.053691275167782</v>
      </c>
      <c r="X19" s="114">
        <f>SUM(X13:X18)</f>
        <v>-46.711409395973149</v>
      </c>
      <c r="Y19" s="113">
        <f>SUM(Y13:Y18)</f>
        <v>-104.16107382550335</v>
      </c>
      <c r="Z19" s="112"/>
      <c r="AA19" s="112">
        <f>SUM(AA13:AA18)</f>
        <v>-27.516778523489933</v>
      </c>
      <c r="AB19" s="112">
        <f>SUM(AB13:AB18)</f>
        <v>-39.731543624161077</v>
      </c>
      <c r="AC19" s="114">
        <f>SUM(AC13:AC18)</f>
        <v>-37.986577181208055</v>
      </c>
      <c r="AD19" s="114">
        <f>SUM(AD13:AD18)</f>
        <v>-32.751677852348998</v>
      </c>
      <c r="AE19" s="113">
        <f>SUM(AE13:AE18)</f>
        <v>-137.98657718120805</v>
      </c>
      <c r="AG19" s="112">
        <f>SUM(AG13:AG18)</f>
        <v>-43.087248322147651</v>
      </c>
      <c r="AH19" s="114">
        <f>SUM(AH13:AH18)</f>
        <v>-18.389261744966444</v>
      </c>
      <c r="AI19" s="114">
        <f>SUM(AI13:AI18)</f>
        <v>-21.879194630872483</v>
      </c>
      <c r="AJ19" s="114">
        <f>SUM(AJ13:AJ18)</f>
        <v>-30.604026845637584</v>
      </c>
      <c r="AK19" s="113">
        <f>SUM(AK13:AK18)</f>
        <v>-113.95973154362417</v>
      </c>
      <c r="AM19" s="112">
        <f>SUM(AM13:AM18)</f>
        <v>-31.140939597315434</v>
      </c>
      <c r="AN19" s="114">
        <f>SUM(AN13:AN18)</f>
        <v>-25.234899328859058</v>
      </c>
      <c r="AO19" s="114">
        <f>SUM(AO13:AO18)</f>
        <v>-26.174496644295303</v>
      </c>
      <c r="AP19" s="114">
        <f>SUM(AP13:AP18)</f>
        <v>-25.771812080536911</v>
      </c>
      <c r="AQ19" s="113">
        <f>SUM(AQ13:AQ18)</f>
        <v>-108.3221476510067</v>
      </c>
      <c r="AS19" s="112">
        <f>SUM(AS13:AS18)</f>
        <v>-17.986577181208052</v>
      </c>
      <c r="AT19" s="114">
        <f>SUM(AT13:AT18)</f>
        <v>-15.973154362416107</v>
      </c>
      <c r="AU19" s="114">
        <f>SUM(AU13:AU18)</f>
        <v>-15.70469798657718</v>
      </c>
      <c r="AV19" s="114">
        <f>SUM(AV13:AV18)</f>
        <v>-21.744966442953018</v>
      </c>
      <c r="AW19" s="113">
        <f>SUM(AW13:AW18)</f>
        <v>-71.409395973154361</v>
      </c>
      <c r="AY19" s="112">
        <f>SUM(AY13:AY18)</f>
        <v>-15.167785234899327</v>
      </c>
      <c r="AZ19" s="112">
        <f>SUM(AZ13:AZ18)</f>
        <v>-15.033557046979865</v>
      </c>
      <c r="BA19" s="112">
        <f>SUM(BA13:BA18)</f>
        <v>-43.758389261744966</v>
      </c>
      <c r="BB19" s="112">
        <f>SUM(BB13:BB18)</f>
        <v>-19.194630872483224</v>
      </c>
      <c r="BC19" s="113">
        <f>SUM(BC13:BC18)</f>
        <v>-93.154362416107375</v>
      </c>
      <c r="BE19" s="112">
        <f>SUM(BE13:BE18)</f>
        <v>-1.6107382550335574</v>
      </c>
      <c r="BF19" s="112">
        <f>SUM(BF13:BF18)</f>
        <v>-14.765100671140939</v>
      </c>
      <c r="BG19" s="112">
        <f>SUM(BG13:BG18)</f>
        <v>-16.644295302013422</v>
      </c>
      <c r="BH19" s="112">
        <f>SUM(BH13:BH18)</f>
        <v>-17.449664429530202</v>
      </c>
      <c r="BI19" s="113">
        <f>SUM(BI13:BI18)</f>
        <v>-50.469798657718115</v>
      </c>
      <c r="BK19" s="112">
        <f>SUM(BK13:BK18)</f>
        <v>-12.483221476510067</v>
      </c>
      <c r="BL19" s="112">
        <f>SUM(BL13:BL18)</f>
        <v>-29.798657718120801</v>
      </c>
      <c r="BM19" s="112">
        <f>SUM(BM13:BM18)</f>
        <v>-12.751677852348994</v>
      </c>
      <c r="BN19" s="112">
        <f>SUM(BN13:BN18)</f>
        <v>-34.900000000000006</v>
      </c>
      <c r="BO19" s="113">
        <f>SUM(BO13:BO18)</f>
        <v>-89.933557046979871</v>
      </c>
      <c r="BQ19" s="112">
        <f>SUM(BQ13:BQ18)</f>
        <v>-70.400000000000006</v>
      </c>
      <c r="BR19" s="112">
        <f>SUM(BR13:BR18)</f>
        <v>-17.5</v>
      </c>
      <c r="BS19" s="112">
        <f>SUM(BS13:BS18)</f>
        <v>-20.5</v>
      </c>
      <c r="BT19" s="112">
        <f>SUM(BT13:BT18)</f>
        <v>-18.400000000000002</v>
      </c>
      <c r="BU19" s="113">
        <f>SUM(BU13:BU18)</f>
        <v>-126.8</v>
      </c>
      <c r="BW19" s="112">
        <f>SUM(BW13:BW18)</f>
        <v>-655.9</v>
      </c>
      <c r="BX19" s="112">
        <f>SUM(BX13:BX18)</f>
        <v>-153.6</v>
      </c>
      <c r="BY19" s="112">
        <f>SUM(BY13:BY18)</f>
        <v>-32</v>
      </c>
      <c r="BZ19" s="196">
        <f>SUM(BZ13:BZ18)</f>
        <v>359.40000000000003</v>
      </c>
      <c r="CA19" s="113">
        <f>SUM(CA13:CA18)</f>
        <v>-482.10000000000008</v>
      </c>
      <c r="CC19" s="112">
        <f>SUM(CC13:CC18)</f>
        <v>-9.6000000000000014</v>
      </c>
      <c r="CD19" s="112">
        <f>SUM(CD13:CD18)</f>
        <v>-13.399999999999999</v>
      </c>
      <c r="CE19" s="112">
        <f>SUM(CE13:CE18)</f>
        <v>-11</v>
      </c>
      <c r="CF19" s="196">
        <f>SUM(CF13:CF18)</f>
        <v>-26.9</v>
      </c>
      <c r="CG19" s="113">
        <f>SUM(CG13:CG18)</f>
        <v>-60.9</v>
      </c>
      <c r="CI19" s="112">
        <f>SUM(CI13:CI18)</f>
        <v>-9.9999999999999645E-2</v>
      </c>
      <c r="CJ19" s="112">
        <f>SUM(CJ13:CJ18)</f>
        <v>-22.7</v>
      </c>
      <c r="CK19" s="112">
        <f>SUM(CK13:CK18)</f>
        <v>-17.3</v>
      </c>
      <c r="CL19" s="112">
        <f>SUM(CL13:CL18)</f>
        <v>-26.7</v>
      </c>
      <c r="CM19" s="113">
        <f>SUM(CM13:CM18)</f>
        <v>-66.8</v>
      </c>
      <c r="CO19" s="112">
        <f>SUM(CO13:CO18)</f>
        <v>-14.4</v>
      </c>
      <c r="CP19" s="112"/>
      <c r="CQ19" s="112"/>
      <c r="CR19" s="112"/>
      <c r="CS19" s="113">
        <f>SUM(CS13:CS18)</f>
        <v>-14.4</v>
      </c>
    </row>
    <row r="20" spans="1:97" s="120" customFormat="1" ht="18.75" customHeight="1" x14ac:dyDescent="0.2">
      <c r="A20" s="116"/>
      <c r="B20" s="116"/>
      <c r="C20" s="116"/>
      <c r="D20" s="116"/>
      <c r="E20" s="116"/>
      <c r="F20" s="116"/>
      <c r="G20" s="117"/>
      <c r="H20" s="116"/>
      <c r="I20" s="116"/>
      <c r="J20" s="116"/>
      <c r="K20" s="116"/>
      <c r="L20" s="116"/>
      <c r="M20" s="117"/>
      <c r="N20" s="116"/>
      <c r="O20" s="116"/>
      <c r="P20" s="116"/>
      <c r="Q20" s="116"/>
      <c r="R20" s="116"/>
      <c r="S20" s="117"/>
      <c r="T20" s="116"/>
      <c r="U20" s="116"/>
      <c r="V20" s="116"/>
      <c r="W20" s="116"/>
      <c r="X20" s="118"/>
      <c r="Y20" s="117"/>
      <c r="Z20" s="116"/>
      <c r="AA20" s="116"/>
      <c r="AB20" s="116"/>
      <c r="AC20" s="118"/>
      <c r="AD20" s="118"/>
      <c r="AE20" s="117"/>
      <c r="AG20" s="116"/>
      <c r="AH20" s="118"/>
      <c r="AI20" s="118"/>
      <c r="AJ20" s="118"/>
      <c r="AK20" s="117"/>
      <c r="AM20" s="116"/>
      <c r="AN20" s="118"/>
      <c r="AO20" s="118"/>
      <c r="AP20" s="118"/>
      <c r="AQ20" s="117"/>
      <c r="AS20" s="116"/>
      <c r="AT20" s="118"/>
      <c r="AU20" s="118"/>
      <c r="AV20" s="118"/>
      <c r="AW20" s="117"/>
      <c r="AY20" s="116"/>
      <c r="AZ20" s="118"/>
      <c r="BA20" s="118"/>
      <c r="BB20" s="118"/>
      <c r="BC20" s="117"/>
      <c r="BE20" s="116"/>
      <c r="BF20" s="118"/>
      <c r="BG20" s="118"/>
      <c r="BH20" s="118"/>
      <c r="BI20" s="117"/>
      <c r="BK20" s="116"/>
      <c r="BL20" s="118"/>
      <c r="BM20" s="118"/>
      <c r="BN20" s="118"/>
      <c r="BO20" s="117"/>
      <c r="BQ20" s="116"/>
      <c r="BR20" s="118"/>
      <c r="BS20" s="118"/>
      <c r="BT20" s="118"/>
      <c r="BU20" s="117"/>
      <c r="BW20" s="116"/>
      <c r="BX20" s="118"/>
      <c r="BY20" s="118"/>
      <c r="BZ20" s="197"/>
      <c r="CA20" s="117"/>
      <c r="CC20" s="116"/>
      <c r="CD20" s="118"/>
      <c r="CE20" s="118"/>
      <c r="CF20" s="197"/>
      <c r="CG20" s="117"/>
      <c r="CI20" s="116"/>
      <c r="CJ20" s="118"/>
      <c r="CK20" s="118"/>
      <c r="CL20" s="197"/>
      <c r="CM20" s="117"/>
      <c r="CO20" s="116"/>
      <c r="CP20" s="118"/>
      <c r="CQ20" s="118"/>
      <c r="CR20" s="197"/>
      <c r="CS20" s="117"/>
    </row>
    <row r="21" spans="1:97" x14ac:dyDescent="0.2">
      <c r="A21" s="96" t="s">
        <v>182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198">
        <f>BZ11+BZ19</f>
        <v>422.1</v>
      </c>
      <c r="CA21" s="39">
        <f>CA11+CA19</f>
        <v>-394.30000000000007</v>
      </c>
      <c r="CC21" s="96">
        <f>CC11+CC19</f>
        <v>-141.4</v>
      </c>
      <c r="CD21" s="96">
        <f>CD11+CD19</f>
        <v>23</v>
      </c>
      <c r="CE21" s="96">
        <f>CE11+CE19</f>
        <v>-45.8</v>
      </c>
      <c r="CF21" s="198">
        <f>CF11+CF19</f>
        <v>61.099999999999987</v>
      </c>
      <c r="CG21" s="39">
        <f>CG11+CG19</f>
        <v>-103.10000000000001</v>
      </c>
      <c r="CI21" s="96">
        <f>CI11+CI19</f>
        <v>-54.699999999999996</v>
      </c>
      <c r="CJ21" s="96">
        <f>CJ11+CJ19</f>
        <v>0.40000000000000213</v>
      </c>
      <c r="CK21" s="96">
        <f>CK11+CK19</f>
        <v>-6.2999999999999989</v>
      </c>
      <c r="CL21" s="96">
        <f>CL11+CL19</f>
        <v>118.8</v>
      </c>
      <c r="CM21" s="39">
        <f>CM11+CM19</f>
        <v>58.200000000000017</v>
      </c>
      <c r="CO21" s="96">
        <f>CO11+CO19</f>
        <v>-135.89999999999998</v>
      </c>
      <c r="CP21" s="96"/>
      <c r="CQ21" s="96"/>
      <c r="CR21" s="96"/>
      <c r="CS21" s="39">
        <f>CS11+CS19</f>
        <v>-135.89999999999998</v>
      </c>
    </row>
  </sheetData>
  <mergeCells count="34">
    <mergeCell ref="BQ1:BU1"/>
    <mergeCell ref="BQ3:BU3"/>
    <mergeCell ref="AY3:BC3"/>
    <mergeCell ref="I1:M1"/>
    <mergeCell ref="O1:S1"/>
    <mergeCell ref="O3:S3"/>
    <mergeCell ref="U1:Y1"/>
    <mergeCell ref="U3:Y3"/>
    <mergeCell ref="BE3:BI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AS1:AW1"/>
    <mergeCell ref="AS3:AW3"/>
    <mergeCell ref="AY1:BC1"/>
    <mergeCell ref="CO3:CS3"/>
    <mergeCell ref="CI1:CM1"/>
    <mergeCell ref="CI2:CM2"/>
    <mergeCell ref="CI3:CM3"/>
    <mergeCell ref="BW3:CA3"/>
    <mergeCell ref="BW1:CA1"/>
    <mergeCell ref="CC1:CG1"/>
    <mergeCell ref="CC2:CG2"/>
    <mergeCell ref="CC3:CG3"/>
    <mergeCell ref="BW2:CA2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9B05-209A-4519-B4E2-03097B7D8CB7}">
  <sheetPr>
    <pageSetUpPr fitToPage="1"/>
  </sheetPr>
  <dimension ref="A1:EN104"/>
  <sheetViews>
    <sheetView showGridLines="0" zoomScale="85" zoomScaleNormal="85" workbookViewId="0">
      <pane xSplit="2" ySplit="3" topLeftCell="C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U58" sqref="U58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7" width="8.7109375" style="2" customWidth="1"/>
    <col min="8" max="8" width="4.5703125" style="2" customWidth="1"/>
    <col min="9" max="13" width="8.7109375" style="2" customWidth="1"/>
    <col min="14" max="14" width="4.5703125" style="2" customWidth="1"/>
    <col min="15" max="19" width="8.7109375" style="2" customWidth="1"/>
    <col min="20" max="20" width="3.5703125" style="2" customWidth="1"/>
    <col min="21" max="16384" width="9.140625" style="2"/>
  </cols>
  <sheetData>
    <row r="1" spans="1:25" x14ac:dyDescent="0.2">
      <c r="C1" s="275"/>
      <c r="D1" s="275"/>
      <c r="E1" s="275"/>
      <c r="F1" s="275"/>
      <c r="G1" s="275"/>
      <c r="I1" s="275"/>
      <c r="J1" s="275"/>
      <c r="K1" s="275"/>
      <c r="L1" s="275"/>
      <c r="M1" s="275"/>
      <c r="O1" s="275"/>
      <c r="P1" s="275"/>
      <c r="Q1" s="275"/>
      <c r="R1" s="275"/>
      <c r="S1" s="275"/>
    </row>
    <row r="2" spans="1:25" x14ac:dyDescent="0.2">
      <c r="A2" s="1" t="s">
        <v>154</v>
      </c>
      <c r="C2" s="274">
        <v>2017</v>
      </c>
      <c r="D2" s="274"/>
      <c r="E2" s="274"/>
      <c r="F2" s="274"/>
      <c r="G2" s="274"/>
      <c r="I2" s="274">
        <v>2018</v>
      </c>
      <c r="J2" s="274"/>
      <c r="K2" s="274"/>
      <c r="L2" s="274"/>
      <c r="M2" s="274"/>
      <c r="O2" s="274">
        <v>2019</v>
      </c>
      <c r="P2" s="274"/>
      <c r="Q2" s="274"/>
      <c r="R2" s="274"/>
      <c r="S2" s="274"/>
      <c r="U2" s="274">
        <v>2020</v>
      </c>
      <c r="V2" s="274"/>
      <c r="W2" s="274"/>
      <c r="X2" s="274"/>
      <c r="Y2" s="274"/>
    </row>
    <row r="3" spans="1:25" s="170" customFormat="1" x14ac:dyDescent="0.2">
      <c r="A3" s="169" t="s">
        <v>109</v>
      </c>
      <c r="B3" s="171"/>
      <c r="C3" s="172" t="s">
        <v>10</v>
      </c>
      <c r="D3" s="172" t="s">
        <v>11</v>
      </c>
      <c r="E3" s="172" t="s">
        <v>12</v>
      </c>
      <c r="F3" s="172" t="s">
        <v>13</v>
      </c>
      <c r="G3" s="172" t="s">
        <v>14</v>
      </c>
      <c r="I3" s="172" t="s">
        <v>10</v>
      </c>
      <c r="J3" s="172" t="s">
        <v>11</v>
      </c>
      <c r="K3" s="172" t="s">
        <v>12</v>
      </c>
      <c r="L3" s="172" t="s">
        <v>13</v>
      </c>
      <c r="M3" s="172" t="s">
        <v>14</v>
      </c>
      <c r="O3" s="172" t="s">
        <v>10</v>
      </c>
      <c r="P3" s="172" t="s">
        <v>11</v>
      </c>
      <c r="Q3" s="172" t="s">
        <v>12</v>
      </c>
      <c r="R3" s="172" t="s">
        <v>13</v>
      </c>
      <c r="S3" s="172" t="s">
        <v>14</v>
      </c>
      <c r="U3" s="172" t="s">
        <v>10</v>
      </c>
      <c r="V3" s="172" t="s">
        <v>11</v>
      </c>
      <c r="W3" s="172" t="s">
        <v>12</v>
      </c>
      <c r="X3" s="172" t="s">
        <v>13</v>
      </c>
      <c r="Y3" s="172" t="s">
        <v>14</v>
      </c>
    </row>
    <row r="4" spans="1:25" s="162" customFormat="1" x14ac:dyDescent="0.2">
      <c r="G4" s="174"/>
      <c r="M4" s="174"/>
      <c r="S4" s="174"/>
      <c r="Y4" s="174"/>
    </row>
    <row r="5" spans="1:25" x14ac:dyDescent="0.2">
      <c r="A5" s="5" t="s">
        <v>183</v>
      </c>
      <c r="G5" s="36"/>
      <c r="M5" s="36"/>
      <c r="S5" s="36"/>
      <c r="Y5" s="36"/>
    </row>
    <row r="6" spans="1:25" ht="12.75" customHeight="1" x14ac:dyDescent="0.2">
      <c r="A6" s="2" t="s">
        <v>184</v>
      </c>
      <c r="C6" s="31">
        <v>84.6</v>
      </c>
      <c r="D6" s="31">
        <v>177.6</v>
      </c>
      <c r="E6" s="31">
        <v>214</v>
      </c>
      <c r="F6" s="122">
        <v>204</v>
      </c>
      <c r="G6" s="75">
        <f>SUM(C6:F6)</f>
        <v>680.2</v>
      </c>
      <c r="H6" s="31"/>
      <c r="I6" s="31">
        <v>159.6</v>
      </c>
      <c r="J6" s="31">
        <v>178.9</v>
      </c>
      <c r="K6" s="31">
        <v>176.8</v>
      </c>
      <c r="L6" s="122">
        <v>124.99999999999994</v>
      </c>
      <c r="M6" s="75">
        <f>SUM(I6:L6)</f>
        <v>640.29999999999995</v>
      </c>
      <c r="N6" s="31"/>
      <c r="O6" s="31">
        <v>101.7</v>
      </c>
      <c r="P6" s="31">
        <v>129.9</v>
      </c>
      <c r="Q6" s="31">
        <v>125.4</v>
      </c>
      <c r="R6" s="122">
        <v>165.49999999999997</v>
      </c>
      <c r="S6" s="75">
        <f>SUM(O6:R6)</f>
        <v>522.5</v>
      </c>
      <c r="U6" s="31">
        <v>143.69999999999999</v>
      </c>
      <c r="V6" s="31"/>
      <c r="W6" s="31"/>
      <c r="X6" s="122"/>
      <c r="Y6" s="75">
        <f>SUM(U6:X6)</f>
        <v>143.69999999999999</v>
      </c>
    </row>
    <row r="7" spans="1:25" ht="12.75" customHeight="1" x14ac:dyDescent="0.2">
      <c r="A7" s="2" t="s">
        <v>185</v>
      </c>
      <c r="C7" s="31">
        <v>173.5</v>
      </c>
      <c r="D7" s="31">
        <v>185.4</v>
      </c>
      <c r="E7" s="31">
        <v>165.3</v>
      </c>
      <c r="F7" s="122">
        <v>144.1</v>
      </c>
      <c r="G7" s="75">
        <f t="shared" ref="G7:G9" si="0">SUM(C7:F7)</f>
        <v>668.30000000000007</v>
      </c>
      <c r="H7" s="31"/>
      <c r="I7" s="31">
        <v>163.4</v>
      </c>
      <c r="J7" s="31">
        <v>192.3</v>
      </c>
      <c r="K7" s="31">
        <v>162.1</v>
      </c>
      <c r="L7" s="122">
        <v>159.6</v>
      </c>
      <c r="M7" s="75">
        <f t="shared" ref="M7:M9" si="1">SUM(I7:L7)</f>
        <v>677.40000000000009</v>
      </c>
      <c r="N7" s="31"/>
      <c r="O7" s="31">
        <v>156</v>
      </c>
      <c r="P7" s="31">
        <v>181.8</v>
      </c>
      <c r="Q7" s="31">
        <v>161.19999999999999</v>
      </c>
      <c r="R7" s="122">
        <v>146.29999999999995</v>
      </c>
      <c r="S7" s="75">
        <f t="shared" ref="S7:S9" si="2">SUM(O7:R7)</f>
        <v>645.29999999999995</v>
      </c>
      <c r="U7" s="31">
        <v>156.80000000000001</v>
      </c>
      <c r="V7" s="31"/>
      <c r="W7" s="31"/>
      <c r="X7" s="122"/>
      <c r="Y7" s="75">
        <f t="shared" ref="Y7:Y9" si="3">SUM(U7:X7)</f>
        <v>156.80000000000001</v>
      </c>
    </row>
    <row r="8" spans="1:25" ht="12.75" customHeight="1" x14ac:dyDescent="0.2">
      <c r="A8" s="2" t="s">
        <v>186</v>
      </c>
      <c r="C8" s="31">
        <v>16.399999999999999</v>
      </c>
      <c r="D8" s="31">
        <v>31.2</v>
      </c>
      <c r="E8" s="31">
        <v>30.3</v>
      </c>
      <c r="F8" s="122">
        <v>29</v>
      </c>
      <c r="G8" s="75">
        <f t="shared" si="0"/>
        <v>106.89999999999999</v>
      </c>
      <c r="H8" s="31"/>
      <c r="I8" s="31">
        <v>35.799999999999997</v>
      </c>
      <c r="J8" s="31">
        <v>44.7</v>
      </c>
      <c r="K8" s="31">
        <v>36.9</v>
      </c>
      <c r="L8" s="122">
        <v>36.79999999999999</v>
      </c>
      <c r="M8" s="75">
        <f t="shared" si="1"/>
        <v>154.19999999999999</v>
      </c>
      <c r="N8" s="31"/>
      <c r="O8" s="31">
        <v>26.9</v>
      </c>
      <c r="P8" s="31">
        <v>32.5</v>
      </c>
      <c r="Q8" s="31">
        <v>28.7</v>
      </c>
      <c r="R8" s="122">
        <v>30.700000000000006</v>
      </c>
      <c r="S8" s="75">
        <f t="shared" si="2"/>
        <v>118.8</v>
      </c>
      <c r="U8" s="31">
        <v>28.4</v>
      </c>
      <c r="V8" s="31"/>
      <c r="W8" s="31"/>
      <c r="X8" s="122"/>
      <c r="Y8" s="75">
        <f t="shared" si="3"/>
        <v>28.4</v>
      </c>
    </row>
    <row r="9" spans="1:25" ht="12.75" customHeight="1" x14ac:dyDescent="0.2">
      <c r="A9" s="162" t="s">
        <v>187</v>
      </c>
      <c r="B9" s="162"/>
      <c r="C9" s="127">
        <v>-0.7</v>
      </c>
      <c r="D9" s="127">
        <v>-3.9</v>
      </c>
      <c r="E9" s="127">
        <v>-13</v>
      </c>
      <c r="F9" s="130">
        <v>-8.9</v>
      </c>
      <c r="G9" s="88">
        <f t="shared" si="0"/>
        <v>-26.5</v>
      </c>
      <c r="H9" s="31"/>
      <c r="I9" s="127">
        <v>-7.7</v>
      </c>
      <c r="J9" s="127">
        <v>-8.6999999999999993</v>
      </c>
      <c r="K9" s="127">
        <v>-8.8000000000000007</v>
      </c>
      <c r="L9" s="130">
        <v>-12.099999999999998</v>
      </c>
      <c r="M9" s="88">
        <f t="shared" si="1"/>
        <v>-37.299999999999997</v>
      </c>
      <c r="N9" s="31"/>
      <c r="O9" s="127">
        <v>-4.8</v>
      </c>
      <c r="P9" s="127">
        <v>-6.4</v>
      </c>
      <c r="Q9" s="127">
        <v>-6.7</v>
      </c>
      <c r="R9" s="130">
        <v>-0.49999999999999734</v>
      </c>
      <c r="S9" s="88">
        <f t="shared" si="2"/>
        <v>-18.399999999999995</v>
      </c>
      <c r="U9" s="127">
        <v>-10.5</v>
      </c>
      <c r="V9" s="127"/>
      <c r="W9" s="127"/>
      <c r="X9" s="130"/>
      <c r="Y9" s="88">
        <f t="shared" si="3"/>
        <v>-10.5</v>
      </c>
    </row>
    <row r="10" spans="1:25" s="53" customFormat="1" ht="12.75" customHeight="1" x14ac:dyDescent="0.2">
      <c r="A10" s="48" t="s">
        <v>145</v>
      </c>
      <c r="C10" s="79">
        <f>+SUM(C6:C9)</f>
        <v>273.8</v>
      </c>
      <c r="D10" s="79">
        <f t="shared" ref="D10:F10" si="4">+SUM(D6:D9)</f>
        <v>390.3</v>
      </c>
      <c r="E10" s="79">
        <f t="shared" si="4"/>
        <v>396.6</v>
      </c>
      <c r="F10" s="132">
        <f t="shared" si="4"/>
        <v>368.20000000000005</v>
      </c>
      <c r="G10" s="80">
        <f>+SUM(G6:G9)</f>
        <v>1428.9</v>
      </c>
      <c r="H10" s="82"/>
      <c r="I10" s="79">
        <f>+SUM(I6:I9)</f>
        <v>351.1</v>
      </c>
      <c r="J10" s="79">
        <f t="shared" ref="J10" si="5">+SUM(J6:J9)</f>
        <v>407.20000000000005</v>
      </c>
      <c r="K10" s="79">
        <f t="shared" ref="K10" si="6">+SUM(K6:K9)</f>
        <v>366.99999999999994</v>
      </c>
      <c r="L10" s="132">
        <f t="shared" ref="L10" si="7">+SUM(L6:L9)</f>
        <v>309.2999999999999</v>
      </c>
      <c r="M10" s="80">
        <f>+SUM(M6:M9)</f>
        <v>1434.6000000000001</v>
      </c>
      <c r="N10" s="82"/>
      <c r="O10" s="79">
        <f>+SUM(O6:O9)</f>
        <v>279.79999999999995</v>
      </c>
      <c r="P10" s="79">
        <f t="shared" ref="P10" si="8">+SUM(P6:P9)</f>
        <v>337.80000000000007</v>
      </c>
      <c r="Q10" s="79">
        <f t="shared" ref="Q10" si="9">+SUM(Q6:Q9)</f>
        <v>308.60000000000002</v>
      </c>
      <c r="R10" s="132">
        <f t="shared" ref="R10" si="10">+SUM(R6:R9)</f>
        <v>341.99999999999994</v>
      </c>
      <c r="S10" s="80">
        <f>+SUM(S6:S9)</f>
        <v>1268.1999999999998</v>
      </c>
      <c r="U10" s="79">
        <f>+SUM(U6:U9)</f>
        <v>318.39999999999998</v>
      </c>
      <c r="V10" s="79"/>
      <c r="W10" s="79"/>
      <c r="X10" s="132"/>
      <c r="Y10" s="80">
        <f>+SUM(Y6:Y9)</f>
        <v>318.39999999999998</v>
      </c>
    </row>
    <row r="11" spans="1:25" ht="12.75" customHeight="1" x14ac:dyDescent="0.2">
      <c r="A11" s="2" t="s">
        <v>144</v>
      </c>
      <c r="C11" s="31">
        <v>7.5</v>
      </c>
      <c r="D11" s="31">
        <v>11.2</v>
      </c>
      <c r="E11" s="31">
        <v>11.2</v>
      </c>
      <c r="F11" s="122">
        <v>21</v>
      </c>
      <c r="G11" s="75">
        <f t="shared" ref="G11:G12" si="11">SUM(C11:F11)</f>
        <v>50.9</v>
      </c>
      <c r="H11" s="31"/>
      <c r="I11" s="31">
        <v>12.4</v>
      </c>
      <c r="J11" s="31">
        <v>17.600000000000001</v>
      </c>
      <c r="K11" s="31">
        <v>15.2</v>
      </c>
      <c r="L11" s="122">
        <v>22.500000000000004</v>
      </c>
      <c r="M11" s="75">
        <f t="shared" ref="M11:M12" si="12">SUM(I11:L11)</f>
        <v>67.7</v>
      </c>
      <c r="N11" s="31"/>
      <c r="O11" s="31">
        <v>14.5</v>
      </c>
      <c r="P11" s="31">
        <v>17.899999999999999</v>
      </c>
      <c r="Q11" s="31">
        <v>16.7</v>
      </c>
      <c r="R11" s="122">
        <v>25.499999999999996</v>
      </c>
      <c r="S11" s="75">
        <f t="shared" ref="S11:S12" si="13">SUM(O11:R11)</f>
        <v>74.599999999999994</v>
      </c>
      <c r="U11" s="31">
        <v>12.7</v>
      </c>
      <c r="V11" s="31"/>
      <c r="W11" s="31"/>
      <c r="X11" s="122"/>
      <c r="Y11" s="75">
        <f t="shared" ref="Y11:Y12" si="14">SUM(U11:X11)</f>
        <v>12.7</v>
      </c>
    </row>
    <row r="12" spans="1:25" ht="12.75" customHeight="1" x14ac:dyDescent="0.2">
      <c r="A12" s="2" t="s">
        <v>187</v>
      </c>
      <c r="C12" s="31">
        <v>0</v>
      </c>
      <c r="D12" s="31">
        <v>0</v>
      </c>
      <c r="E12" s="31">
        <v>0</v>
      </c>
      <c r="F12" s="122">
        <v>-0.5</v>
      </c>
      <c r="G12" s="75">
        <f t="shared" si="11"/>
        <v>-0.5</v>
      </c>
      <c r="H12" s="31"/>
      <c r="I12" s="31">
        <v>0</v>
      </c>
      <c r="J12" s="31">
        <v>-0.1</v>
      </c>
      <c r="K12" s="31">
        <v>-0.4</v>
      </c>
      <c r="L12" s="122">
        <v>-0.19999999999999996</v>
      </c>
      <c r="M12" s="75">
        <f t="shared" si="12"/>
        <v>-0.7</v>
      </c>
      <c r="N12" s="31"/>
      <c r="O12" s="31">
        <v>0</v>
      </c>
      <c r="P12" s="31">
        <v>-0.3</v>
      </c>
      <c r="Q12" s="31">
        <v>0</v>
      </c>
      <c r="R12" s="122">
        <v>-0.10000000000000003</v>
      </c>
      <c r="S12" s="75">
        <f t="shared" si="13"/>
        <v>-0.4</v>
      </c>
      <c r="U12" s="31">
        <v>0</v>
      </c>
      <c r="V12" s="31"/>
      <c r="W12" s="31"/>
      <c r="X12" s="122"/>
      <c r="Y12" s="75">
        <f t="shared" si="14"/>
        <v>0</v>
      </c>
    </row>
    <row r="13" spans="1:25" s="53" customFormat="1" ht="12.75" customHeight="1" x14ac:dyDescent="0.2">
      <c r="A13" s="48" t="s">
        <v>154</v>
      </c>
      <c r="C13" s="79">
        <f>+SUM(C10:C12)</f>
        <v>281.3</v>
      </c>
      <c r="D13" s="79">
        <f t="shared" ref="D13:G13" si="15">+SUM(D10:D12)</f>
        <v>401.5</v>
      </c>
      <c r="E13" s="79">
        <f t="shared" si="15"/>
        <v>407.8</v>
      </c>
      <c r="F13" s="132">
        <f t="shared" si="15"/>
        <v>388.70000000000005</v>
      </c>
      <c r="G13" s="80">
        <f t="shared" si="15"/>
        <v>1479.3000000000002</v>
      </c>
      <c r="H13" s="82"/>
      <c r="I13" s="79">
        <f t="shared" ref="I13:M13" si="16">+SUM(I10:I12)</f>
        <v>363.5</v>
      </c>
      <c r="J13" s="79">
        <f t="shared" si="16"/>
        <v>424.70000000000005</v>
      </c>
      <c r="K13" s="79">
        <f t="shared" si="16"/>
        <v>381.79999999999995</v>
      </c>
      <c r="L13" s="132">
        <f t="shared" si="16"/>
        <v>331.59999999999991</v>
      </c>
      <c r="M13" s="80">
        <f t="shared" si="16"/>
        <v>1501.6000000000001</v>
      </c>
      <c r="N13" s="82"/>
      <c r="O13" s="79">
        <f t="shared" ref="O13:R13" si="17">+SUM(O10:O12)</f>
        <v>294.29999999999995</v>
      </c>
      <c r="P13" s="79">
        <f t="shared" si="17"/>
        <v>355.40000000000003</v>
      </c>
      <c r="Q13" s="79">
        <f t="shared" si="17"/>
        <v>325.3</v>
      </c>
      <c r="R13" s="132">
        <f t="shared" si="17"/>
        <v>367.39999999999992</v>
      </c>
      <c r="S13" s="80">
        <f>+SUM(S10:S12)</f>
        <v>1342.3999999999996</v>
      </c>
      <c r="U13" s="79">
        <f t="shared" ref="U13:Y13" si="18">+SUM(U10:U12)</f>
        <v>331.09999999999997</v>
      </c>
      <c r="V13" s="79"/>
      <c r="W13" s="79"/>
      <c r="X13" s="132"/>
      <c r="Y13" s="80">
        <f t="shared" si="18"/>
        <v>331.09999999999997</v>
      </c>
    </row>
    <row r="14" spans="1:25" s="66" customFormat="1" ht="12.75" customHeight="1" x14ac:dyDescent="0.2">
      <c r="C14" s="133"/>
      <c r="D14" s="133"/>
      <c r="E14" s="133"/>
      <c r="F14" s="134"/>
      <c r="G14" s="126"/>
      <c r="H14" s="133"/>
      <c r="I14" s="133"/>
      <c r="J14" s="133"/>
      <c r="K14" s="133"/>
      <c r="L14" s="134"/>
      <c r="M14" s="126"/>
      <c r="N14" s="133"/>
      <c r="O14" s="133"/>
      <c r="P14" s="133"/>
      <c r="Q14" s="133"/>
      <c r="R14" s="134"/>
      <c r="S14" s="126"/>
      <c r="U14" s="133"/>
      <c r="V14" s="133"/>
      <c r="W14" s="133"/>
      <c r="X14" s="134"/>
      <c r="Y14" s="126"/>
    </row>
    <row r="15" spans="1:25" ht="12.75" customHeight="1" x14ac:dyDescent="0.2">
      <c r="A15" s="5" t="s">
        <v>197</v>
      </c>
      <c r="G15" s="36"/>
      <c r="H15" s="31"/>
      <c r="M15" s="36"/>
      <c r="N15" s="31"/>
      <c r="S15" s="36"/>
      <c r="Y15" s="36"/>
    </row>
    <row r="16" spans="1:25" ht="12.75" customHeight="1" x14ac:dyDescent="0.2">
      <c r="A16" s="2" t="s">
        <v>184</v>
      </c>
      <c r="C16" s="31">
        <v>73.7</v>
      </c>
      <c r="D16" s="31">
        <v>154.6</v>
      </c>
      <c r="E16" s="31">
        <v>182.9</v>
      </c>
      <c r="F16" s="122">
        <v>177.8</v>
      </c>
      <c r="G16" s="75">
        <f>SUM(C16:F16)</f>
        <v>589</v>
      </c>
      <c r="H16" s="31"/>
      <c r="I16" s="31">
        <v>139.5</v>
      </c>
      <c r="J16" s="31">
        <v>160.9</v>
      </c>
      <c r="K16" s="31">
        <v>166.4</v>
      </c>
      <c r="L16" s="122">
        <v>111.1</v>
      </c>
      <c r="M16" s="75">
        <f>SUM(I16:L16)</f>
        <v>577.9</v>
      </c>
      <c r="N16" s="31"/>
      <c r="O16" s="31">
        <v>92.2</v>
      </c>
      <c r="P16" s="31">
        <v>111</v>
      </c>
      <c r="Q16" s="31">
        <v>109.8</v>
      </c>
      <c r="R16" s="122">
        <v>142.60000000000002</v>
      </c>
      <c r="S16" s="75">
        <f>SUM(O16:R16)</f>
        <v>455.6</v>
      </c>
      <c r="U16" s="31">
        <v>123.6</v>
      </c>
      <c r="V16" s="31"/>
      <c r="W16" s="31"/>
      <c r="X16" s="122"/>
      <c r="Y16" s="75">
        <f>SUM(U16:X16)</f>
        <v>123.6</v>
      </c>
    </row>
    <row r="17" spans="1:25" ht="12.75" customHeight="1" x14ac:dyDescent="0.2">
      <c r="A17" s="2" t="s">
        <v>185</v>
      </c>
      <c r="C17" s="31">
        <v>101.6</v>
      </c>
      <c r="D17" s="31">
        <v>108.3</v>
      </c>
      <c r="E17" s="31">
        <v>103.2</v>
      </c>
      <c r="F17" s="122">
        <v>86.8</v>
      </c>
      <c r="G17" s="75">
        <f t="shared" ref="G17:G19" si="19">SUM(C17:F17)</f>
        <v>399.9</v>
      </c>
      <c r="H17" s="31"/>
      <c r="I17" s="31">
        <v>91.7</v>
      </c>
      <c r="J17" s="31">
        <v>115.1</v>
      </c>
      <c r="K17" s="31">
        <v>97.2</v>
      </c>
      <c r="L17" s="122">
        <v>96.500000000000014</v>
      </c>
      <c r="M17" s="75">
        <f t="shared" ref="M17:M19" si="20">SUM(I17:L17)</f>
        <v>400.5</v>
      </c>
      <c r="N17" s="31"/>
      <c r="O17" s="31">
        <v>91.7</v>
      </c>
      <c r="P17" s="31">
        <v>106.1</v>
      </c>
      <c r="Q17" s="31">
        <v>98.9</v>
      </c>
      <c r="R17" s="122">
        <v>92.400000000000034</v>
      </c>
      <c r="S17" s="75">
        <f t="shared" ref="S17:S19" si="21">SUM(O17:R17)</f>
        <v>389.10000000000008</v>
      </c>
      <c r="U17" s="31">
        <v>94.1</v>
      </c>
      <c r="V17" s="31"/>
      <c r="W17" s="31"/>
      <c r="X17" s="122"/>
      <c r="Y17" s="75">
        <f t="shared" ref="Y17:Y19" si="22">SUM(U17:X17)</f>
        <v>94.1</v>
      </c>
    </row>
    <row r="18" spans="1:25" ht="12.75" customHeight="1" x14ac:dyDescent="0.2">
      <c r="A18" s="2" t="s">
        <v>186</v>
      </c>
      <c r="C18" s="31">
        <v>13.5</v>
      </c>
      <c r="D18" s="31">
        <v>26.4</v>
      </c>
      <c r="E18" s="31">
        <v>24.2</v>
      </c>
      <c r="F18" s="122">
        <v>24.6</v>
      </c>
      <c r="G18" s="75">
        <f t="shared" si="19"/>
        <v>88.699999999999989</v>
      </c>
      <c r="H18" s="31"/>
      <c r="I18" s="31">
        <v>30.2</v>
      </c>
      <c r="J18" s="31">
        <v>37.1</v>
      </c>
      <c r="K18" s="31">
        <v>30.6</v>
      </c>
      <c r="L18" s="122">
        <v>31.5</v>
      </c>
      <c r="M18" s="75">
        <f t="shared" si="20"/>
        <v>129.4</v>
      </c>
      <c r="N18" s="31"/>
      <c r="O18" s="31">
        <v>25.1</v>
      </c>
      <c r="P18" s="31">
        <v>32.4</v>
      </c>
      <c r="Q18" s="31">
        <v>28.6</v>
      </c>
      <c r="R18" s="122">
        <v>30.599999999999994</v>
      </c>
      <c r="S18" s="75">
        <f t="shared" si="21"/>
        <v>116.69999999999999</v>
      </c>
      <c r="U18" s="31">
        <v>28.4</v>
      </c>
      <c r="V18" s="31"/>
      <c r="W18" s="31"/>
      <c r="X18" s="122"/>
      <c r="Y18" s="75">
        <f t="shared" si="22"/>
        <v>28.4</v>
      </c>
    </row>
    <row r="19" spans="1:25" ht="12.75" customHeight="1" x14ac:dyDescent="0.2">
      <c r="A19" s="47" t="s">
        <v>187</v>
      </c>
      <c r="B19" s="47"/>
      <c r="C19" s="77">
        <v>-3.6</v>
      </c>
      <c r="D19" s="77">
        <v>-1.2</v>
      </c>
      <c r="E19" s="77">
        <v>-7.1</v>
      </c>
      <c r="F19" s="239">
        <v>-7.7</v>
      </c>
      <c r="G19" s="78">
        <f t="shared" si="19"/>
        <v>-19.599999999999998</v>
      </c>
      <c r="H19" s="31"/>
      <c r="I19" s="77">
        <v>-6.9</v>
      </c>
      <c r="J19" s="77">
        <v>-6.7</v>
      </c>
      <c r="K19" s="77">
        <v>-7.3</v>
      </c>
      <c r="L19" s="239">
        <v>-6.799999999999998</v>
      </c>
      <c r="M19" s="78">
        <f t="shared" si="20"/>
        <v>-27.7</v>
      </c>
      <c r="N19" s="31"/>
      <c r="O19" s="77">
        <v>-3.6</v>
      </c>
      <c r="P19" s="77">
        <v>-4.5</v>
      </c>
      <c r="Q19" s="77">
        <v>-4.9000000000000004</v>
      </c>
      <c r="R19" s="239">
        <v>-3.3999999999999986</v>
      </c>
      <c r="S19" s="78">
        <f t="shared" si="21"/>
        <v>-16.399999999999999</v>
      </c>
      <c r="U19" s="77">
        <v>-5.8</v>
      </c>
      <c r="V19" s="77"/>
      <c r="W19" s="77"/>
      <c r="X19" s="239"/>
      <c r="Y19" s="78">
        <f t="shared" si="22"/>
        <v>-5.8</v>
      </c>
    </row>
    <row r="20" spans="1:25" s="53" customFormat="1" ht="12.75" customHeight="1" x14ac:dyDescent="0.2">
      <c r="A20" s="48" t="s">
        <v>145</v>
      </c>
      <c r="C20" s="79">
        <f>+SUM(C16:C19)</f>
        <v>185.20000000000002</v>
      </c>
      <c r="D20" s="79">
        <f t="shared" ref="D20" si="23">+SUM(D16:D19)</f>
        <v>288.09999999999997</v>
      </c>
      <c r="E20" s="79">
        <f t="shared" ref="E20" si="24">+SUM(E16:E19)</f>
        <v>303.2</v>
      </c>
      <c r="F20" s="132">
        <f t="shared" ref="F20" si="25">+SUM(F16:F19)</f>
        <v>281.50000000000006</v>
      </c>
      <c r="G20" s="80">
        <f>+SUM(G16:G19)</f>
        <v>1058</v>
      </c>
      <c r="H20" s="82"/>
      <c r="I20" s="79">
        <f>+SUM(I16:I19)</f>
        <v>254.49999999999997</v>
      </c>
      <c r="J20" s="79">
        <f t="shared" ref="J20" si="26">+SUM(J16:J19)</f>
        <v>306.40000000000003</v>
      </c>
      <c r="K20" s="79">
        <f t="shared" ref="K20" si="27">+SUM(K16:K19)</f>
        <v>286.90000000000003</v>
      </c>
      <c r="L20" s="132">
        <f t="shared" ref="L20" si="28">+SUM(L16:L19)</f>
        <v>232.3</v>
      </c>
      <c r="M20" s="80">
        <f>+SUM(M16:M19)</f>
        <v>1080.0999999999999</v>
      </c>
      <c r="N20" s="82"/>
      <c r="O20" s="79">
        <f>+SUM(O16:O19)</f>
        <v>205.4</v>
      </c>
      <c r="P20" s="79">
        <f t="shared" ref="P20" si="29">+SUM(P16:P19)</f>
        <v>245</v>
      </c>
      <c r="Q20" s="79">
        <f t="shared" ref="Q20" si="30">+SUM(Q16:Q19)</f>
        <v>232.39999999999998</v>
      </c>
      <c r="R20" s="132">
        <f t="shared" ref="R20" si="31">+SUM(R16:R19)</f>
        <v>262.20000000000005</v>
      </c>
      <c r="S20" s="80">
        <f>+SUM(S16:S19)</f>
        <v>945.00000000000011</v>
      </c>
      <c r="U20" s="79">
        <f>+SUM(U16:U19)</f>
        <v>240.29999999999998</v>
      </c>
      <c r="V20" s="79"/>
      <c r="W20" s="79"/>
      <c r="X20" s="132"/>
      <c r="Y20" s="80">
        <f>+SUM(Y16:Y19)</f>
        <v>240.29999999999998</v>
      </c>
    </row>
    <row r="21" spans="1:25" s="240" customFormat="1" ht="12.75" customHeight="1" x14ac:dyDescent="0.2">
      <c r="A21" s="162" t="s">
        <v>144</v>
      </c>
      <c r="B21" s="162"/>
      <c r="C21" s="127">
        <v>7.5</v>
      </c>
      <c r="D21" s="127">
        <v>11.2</v>
      </c>
      <c r="E21" s="127">
        <v>11.2</v>
      </c>
      <c r="F21" s="130">
        <v>21</v>
      </c>
      <c r="G21" s="88">
        <f t="shared" ref="G21:G22" si="32">SUM(C21:F21)</f>
        <v>50.9</v>
      </c>
      <c r="H21" s="243"/>
      <c r="I21" s="127">
        <v>12.4</v>
      </c>
      <c r="J21" s="127">
        <v>17.600000000000001</v>
      </c>
      <c r="K21" s="127">
        <v>15.2</v>
      </c>
      <c r="L21" s="130">
        <v>22.500000000000004</v>
      </c>
      <c r="M21" s="88">
        <f t="shared" ref="M21:M22" si="33">SUM(I21:L21)</f>
        <v>67.7</v>
      </c>
      <c r="N21" s="243"/>
      <c r="O21" s="127">
        <v>14.5</v>
      </c>
      <c r="P21" s="127">
        <v>17.899999999999999</v>
      </c>
      <c r="Q21" s="127">
        <v>16.7</v>
      </c>
      <c r="R21" s="130">
        <v>25.499999999999996</v>
      </c>
      <c r="S21" s="88">
        <f t="shared" ref="S21:S22" si="34">SUM(O21:R21)</f>
        <v>74.599999999999994</v>
      </c>
      <c r="U21" s="127">
        <v>12.7</v>
      </c>
      <c r="V21" s="127"/>
      <c r="W21" s="127"/>
      <c r="X21" s="130"/>
      <c r="Y21" s="88">
        <f t="shared" ref="Y21:Y22" si="35">SUM(U21:X21)</f>
        <v>12.7</v>
      </c>
    </row>
    <row r="22" spans="1:25" s="162" customFormat="1" ht="12.75" customHeight="1" x14ac:dyDescent="0.2">
      <c r="A22" s="2" t="s">
        <v>187</v>
      </c>
      <c r="B22" s="2"/>
      <c r="C22" s="31">
        <v>0</v>
      </c>
      <c r="D22" s="31">
        <v>0</v>
      </c>
      <c r="E22" s="31">
        <v>0</v>
      </c>
      <c r="F22" s="122">
        <v>-0.5</v>
      </c>
      <c r="G22" s="75">
        <f t="shared" si="32"/>
        <v>-0.5</v>
      </c>
      <c r="I22" s="31">
        <v>0</v>
      </c>
      <c r="J22" s="31">
        <v>0</v>
      </c>
      <c r="K22" s="31">
        <v>-0.5</v>
      </c>
      <c r="L22" s="122">
        <v>-0.19999999999999996</v>
      </c>
      <c r="M22" s="75">
        <f t="shared" si="33"/>
        <v>-0.7</v>
      </c>
      <c r="O22" s="31">
        <v>0</v>
      </c>
      <c r="P22" s="31">
        <v>-0.3</v>
      </c>
      <c r="Q22" s="31">
        <v>0</v>
      </c>
      <c r="R22" s="122">
        <v>0</v>
      </c>
      <c r="S22" s="75">
        <f t="shared" si="34"/>
        <v>-0.3</v>
      </c>
      <c r="U22" s="31">
        <v>0</v>
      </c>
      <c r="V22" s="31"/>
      <c r="W22" s="31"/>
      <c r="X22" s="122"/>
      <c r="Y22" s="75">
        <f t="shared" si="35"/>
        <v>0</v>
      </c>
    </row>
    <row r="23" spans="1:25" s="53" customFormat="1" ht="12.75" customHeight="1" x14ac:dyDescent="0.2">
      <c r="A23" s="48" t="s">
        <v>154</v>
      </c>
      <c r="C23" s="79">
        <f>+SUM(C20:C22)</f>
        <v>192.70000000000002</v>
      </c>
      <c r="D23" s="79">
        <f t="shared" ref="D23" si="36">+SUM(D20:D22)</f>
        <v>299.29999999999995</v>
      </c>
      <c r="E23" s="79">
        <f t="shared" ref="E23" si="37">+SUM(E20:E22)</f>
        <v>314.39999999999998</v>
      </c>
      <c r="F23" s="132">
        <f t="shared" ref="F23" si="38">+SUM(F20:F22)</f>
        <v>302.00000000000006</v>
      </c>
      <c r="G23" s="80">
        <f t="shared" ref="G23" si="39">+SUM(G20:G22)</f>
        <v>1108.4000000000001</v>
      </c>
      <c r="H23" s="82"/>
      <c r="I23" s="79">
        <f t="shared" ref="I23" si="40">+SUM(I20:I22)</f>
        <v>266.89999999999998</v>
      </c>
      <c r="J23" s="79">
        <f t="shared" ref="J23" si="41">+SUM(J20:J22)</f>
        <v>324.00000000000006</v>
      </c>
      <c r="K23" s="79">
        <f t="shared" ref="K23" si="42">+SUM(K20:K22)</f>
        <v>301.60000000000002</v>
      </c>
      <c r="L23" s="132">
        <f t="shared" ref="L23" si="43">+SUM(L20:L22)</f>
        <v>254.60000000000002</v>
      </c>
      <c r="M23" s="80">
        <f t="shared" ref="M23" si="44">+SUM(M20:M22)</f>
        <v>1147.0999999999999</v>
      </c>
      <c r="N23" s="82"/>
      <c r="O23" s="79">
        <f t="shared" ref="O23" si="45">+SUM(O20:O22)</f>
        <v>219.9</v>
      </c>
      <c r="P23" s="79">
        <f t="shared" ref="P23" si="46">+SUM(P20:P22)</f>
        <v>262.59999999999997</v>
      </c>
      <c r="Q23" s="79">
        <f t="shared" ref="Q23" si="47">+SUM(Q20:Q22)</f>
        <v>249.09999999999997</v>
      </c>
      <c r="R23" s="132">
        <f t="shared" ref="R23" si="48">+SUM(R20:R22)</f>
        <v>287.70000000000005</v>
      </c>
      <c r="S23" s="80">
        <f>+SUM(S20:S22)</f>
        <v>1019.3000000000002</v>
      </c>
      <c r="U23" s="79">
        <f t="shared" ref="U23" si="49">+SUM(U20:U22)</f>
        <v>252.99999999999997</v>
      </c>
      <c r="V23" s="79"/>
      <c r="W23" s="79"/>
      <c r="X23" s="132"/>
      <c r="Y23" s="80">
        <f t="shared" ref="Y23" si="50">+SUM(Y20:Y22)</f>
        <v>252.99999999999997</v>
      </c>
    </row>
    <row r="24" spans="1:25" ht="12.75" customHeight="1" x14ac:dyDescent="0.2">
      <c r="A24" s="5"/>
      <c r="C24" s="29"/>
      <c r="D24" s="29"/>
      <c r="E24" s="29"/>
      <c r="F24" s="28"/>
      <c r="G24" s="64"/>
      <c r="I24" s="29"/>
      <c r="J24" s="29"/>
      <c r="K24" s="29"/>
      <c r="L24" s="28"/>
      <c r="M24" s="64"/>
      <c r="O24" s="29"/>
      <c r="P24" s="29"/>
      <c r="Q24" s="29"/>
      <c r="R24" s="28"/>
      <c r="S24" s="64"/>
      <c r="U24" s="29"/>
      <c r="V24" s="29"/>
      <c r="W24" s="29"/>
      <c r="X24" s="28"/>
      <c r="Y24" s="64"/>
    </row>
    <row r="25" spans="1:25" ht="12.75" customHeight="1" x14ac:dyDescent="0.2">
      <c r="A25" s="5" t="s">
        <v>188</v>
      </c>
      <c r="G25" s="36"/>
      <c r="M25" s="36"/>
      <c r="N25"/>
      <c r="S25" s="36"/>
      <c r="Y25" s="36"/>
    </row>
    <row r="26" spans="1:25" ht="12.75" customHeight="1" x14ac:dyDescent="0.2">
      <c r="A26" s="2" t="s">
        <v>184</v>
      </c>
      <c r="C26" s="31">
        <v>7.8</v>
      </c>
      <c r="D26" s="31">
        <v>32.799999999999997</v>
      </c>
      <c r="E26" s="31">
        <v>38.1</v>
      </c>
      <c r="F26" s="122">
        <v>31.9</v>
      </c>
      <c r="G26" s="75">
        <f>SUM(C26:F26)</f>
        <v>110.6</v>
      </c>
      <c r="I26" s="31">
        <v>18.7</v>
      </c>
      <c r="J26" s="31">
        <v>26.1</v>
      </c>
      <c r="K26" s="31">
        <v>27.5</v>
      </c>
      <c r="L26" s="122">
        <v>-9.3999999999999986</v>
      </c>
      <c r="M26" s="75">
        <f>SUM(I26:L26)</f>
        <v>62.9</v>
      </c>
      <c r="O26" s="31">
        <v>0.4</v>
      </c>
      <c r="P26" s="31">
        <v>4.3</v>
      </c>
      <c r="Q26" s="31">
        <v>3.8</v>
      </c>
      <c r="R26" s="122">
        <v>5.5999999999999988</v>
      </c>
      <c r="S26" s="75">
        <f>SUM(O26:R26)</f>
        <v>14.099999999999998</v>
      </c>
      <c r="U26" s="31">
        <v>5.6</v>
      </c>
      <c r="V26" s="31"/>
      <c r="W26" s="31"/>
      <c r="X26" s="122"/>
      <c r="Y26" s="75">
        <f>SUM(U26:X26)</f>
        <v>5.6</v>
      </c>
    </row>
    <row r="27" spans="1:25" ht="12.75" customHeight="1" x14ac:dyDescent="0.2">
      <c r="A27" s="2" t="s">
        <v>185</v>
      </c>
      <c r="C27" s="31">
        <v>10.6</v>
      </c>
      <c r="D27" s="31">
        <v>6.2</v>
      </c>
      <c r="E27" s="31">
        <v>3.3</v>
      </c>
      <c r="F27" s="122">
        <v>3.1</v>
      </c>
      <c r="G27" s="75">
        <f t="shared" ref="G27:G29" si="51">SUM(C27:F27)</f>
        <v>23.200000000000003</v>
      </c>
      <c r="I27" s="31">
        <v>-0.5</v>
      </c>
      <c r="J27" s="31">
        <v>4.5</v>
      </c>
      <c r="K27" s="31">
        <v>0.2</v>
      </c>
      <c r="L27" s="122">
        <v>1.2000000000000004</v>
      </c>
      <c r="M27" s="75">
        <f t="shared" ref="M27:M29" si="52">SUM(I27:L27)</f>
        <v>5.4</v>
      </c>
      <c r="O27" s="31">
        <v>0.1</v>
      </c>
      <c r="P27" s="31">
        <v>2</v>
      </c>
      <c r="Q27" s="31">
        <v>0.8</v>
      </c>
      <c r="R27" s="122">
        <v>-2.6</v>
      </c>
      <c r="S27" s="75">
        <f t="shared" ref="S27:S29" si="53">SUM(O27:R27)</f>
        <v>0.30000000000000027</v>
      </c>
      <c r="U27" s="31">
        <v>3.5</v>
      </c>
      <c r="V27" s="31"/>
      <c r="W27" s="31"/>
      <c r="X27" s="122"/>
      <c r="Y27" s="75">
        <f t="shared" ref="Y27:Y29" si="54">SUM(U27:X27)</f>
        <v>3.5</v>
      </c>
    </row>
    <row r="28" spans="1:25" ht="12.75" customHeight="1" x14ac:dyDescent="0.2">
      <c r="A28" s="2" t="s">
        <v>186</v>
      </c>
      <c r="C28" s="31">
        <v>0.9</v>
      </c>
      <c r="D28" s="31">
        <v>5.4</v>
      </c>
      <c r="E28" s="31">
        <v>2.8</v>
      </c>
      <c r="F28" s="122">
        <v>2.2999999999999998</v>
      </c>
      <c r="G28" s="75">
        <f t="shared" si="51"/>
        <v>11.400000000000002</v>
      </c>
      <c r="H28" s="31"/>
      <c r="I28" s="31">
        <v>5.8</v>
      </c>
      <c r="J28" s="31">
        <v>3.8</v>
      </c>
      <c r="K28" s="31">
        <v>2.1</v>
      </c>
      <c r="L28" s="122">
        <v>3.9999999999999987</v>
      </c>
      <c r="M28" s="75">
        <f t="shared" si="52"/>
        <v>15.699999999999998</v>
      </c>
      <c r="N28" s="31"/>
      <c r="O28" s="31">
        <v>2.2999999999999998</v>
      </c>
      <c r="P28" s="31">
        <v>4.5999999999999996</v>
      </c>
      <c r="Q28" s="31">
        <v>4.0999999999999996</v>
      </c>
      <c r="R28" s="122">
        <v>2.5</v>
      </c>
      <c r="S28" s="75">
        <f t="shared" si="53"/>
        <v>13.5</v>
      </c>
      <c r="U28" s="31">
        <v>2.9</v>
      </c>
      <c r="V28" s="31"/>
      <c r="W28" s="31"/>
      <c r="X28" s="122"/>
      <c r="Y28" s="75">
        <f t="shared" si="54"/>
        <v>2.9</v>
      </c>
    </row>
    <row r="29" spans="1:25" ht="12.75" customHeight="1" x14ac:dyDescent="0.2">
      <c r="A29" s="47" t="s">
        <v>191</v>
      </c>
      <c r="B29" s="47"/>
      <c r="C29" s="77">
        <v>-1.5</v>
      </c>
      <c r="D29" s="77">
        <v>-1.5</v>
      </c>
      <c r="E29" s="77">
        <v>-0.4</v>
      </c>
      <c r="F29" s="239">
        <v>-3.5</v>
      </c>
      <c r="G29" s="78">
        <f t="shared" si="51"/>
        <v>-6.9</v>
      </c>
      <c r="H29" s="31"/>
      <c r="I29" s="77">
        <v>-3.6</v>
      </c>
      <c r="J29" s="77">
        <v>-2.2999999999999998</v>
      </c>
      <c r="K29" s="77">
        <v>-3.7</v>
      </c>
      <c r="L29" s="239">
        <v>-4.2000000000000011</v>
      </c>
      <c r="M29" s="78">
        <f t="shared" si="52"/>
        <v>-13.800000000000002</v>
      </c>
      <c r="N29" s="31"/>
      <c r="O29" s="77">
        <v>-5.2</v>
      </c>
      <c r="P29" s="77">
        <v>-1.5</v>
      </c>
      <c r="Q29" s="77">
        <v>-1.8</v>
      </c>
      <c r="R29" s="239">
        <v>-4.3000000000000007</v>
      </c>
      <c r="S29" s="78">
        <f t="shared" si="53"/>
        <v>-12.8</v>
      </c>
      <c r="U29" s="77">
        <v>-1.8</v>
      </c>
      <c r="V29" s="77"/>
      <c r="W29" s="77"/>
      <c r="X29" s="239"/>
      <c r="Y29" s="78">
        <f t="shared" si="54"/>
        <v>-1.8</v>
      </c>
    </row>
    <row r="30" spans="1:25" s="53" customFormat="1" ht="12.75" customHeight="1" x14ac:dyDescent="0.2">
      <c r="A30" s="48" t="s">
        <v>145</v>
      </c>
      <c r="C30" s="79">
        <f>+SUM(C26:C29)</f>
        <v>17.799999999999997</v>
      </c>
      <c r="D30" s="79">
        <f t="shared" ref="D30" si="55">+SUM(D26:D29)</f>
        <v>42.9</v>
      </c>
      <c r="E30" s="79">
        <f t="shared" ref="E30" si="56">+SUM(E26:E29)</f>
        <v>43.8</v>
      </c>
      <c r="F30" s="132">
        <f t="shared" ref="F30" si="57">+SUM(F26:F29)</f>
        <v>33.799999999999997</v>
      </c>
      <c r="G30" s="80">
        <f>+SUM(G26:G29)</f>
        <v>138.30000000000001</v>
      </c>
      <c r="H30" s="82"/>
      <c r="I30" s="79">
        <f>+SUM(I26:I29)</f>
        <v>20.399999999999999</v>
      </c>
      <c r="J30" s="79">
        <f t="shared" ref="J30" si="58">+SUM(J26:J29)</f>
        <v>32.1</v>
      </c>
      <c r="K30" s="79">
        <f t="shared" ref="K30" si="59">+SUM(K26:K29)</f>
        <v>26.1</v>
      </c>
      <c r="L30" s="132">
        <f t="shared" ref="L30" si="60">+SUM(L26:L29)</f>
        <v>-8.4</v>
      </c>
      <c r="M30" s="80">
        <f>+SUM(M26:M29)</f>
        <v>70.2</v>
      </c>
      <c r="N30" s="82"/>
      <c r="O30" s="79">
        <f>+SUM(O26:O29)</f>
        <v>-2.4000000000000004</v>
      </c>
      <c r="P30" s="79">
        <f t="shared" ref="P30" si="61">+SUM(P26:P29)</f>
        <v>9.3999999999999986</v>
      </c>
      <c r="Q30" s="79">
        <f t="shared" ref="Q30" si="62">+SUM(Q26:Q29)</f>
        <v>6.8999999999999995</v>
      </c>
      <c r="R30" s="132">
        <f t="shared" ref="R30" si="63">+SUM(R26:R29)</f>
        <v>1.1999999999999975</v>
      </c>
      <c r="S30" s="80">
        <f>+SUM(S26:S29)</f>
        <v>15.099999999999998</v>
      </c>
      <c r="U30" s="79">
        <f>+SUM(U26:U29)</f>
        <v>10.199999999999999</v>
      </c>
      <c r="V30" s="79"/>
      <c r="W30" s="79"/>
      <c r="X30" s="132"/>
      <c r="Y30" s="80">
        <f>+SUM(Y26:Y29)</f>
        <v>10.199999999999999</v>
      </c>
    </row>
    <row r="31" spans="1:25" ht="12.75" customHeight="1" x14ac:dyDescent="0.2">
      <c r="A31" s="2" t="s">
        <v>144</v>
      </c>
      <c r="C31" s="31">
        <v>-2.1</v>
      </c>
      <c r="D31" s="31">
        <v>0.7</v>
      </c>
      <c r="E31" s="31">
        <v>-0.8</v>
      </c>
      <c r="F31" s="122">
        <v>5.7</v>
      </c>
      <c r="G31" s="75">
        <f t="shared" ref="G31:G32" si="64">SUM(C31:F31)</f>
        <v>3.5</v>
      </c>
      <c r="H31" s="31"/>
      <c r="I31" s="31">
        <v>-1.5</v>
      </c>
      <c r="J31" s="31">
        <v>1</v>
      </c>
      <c r="K31" s="31">
        <v>1.5</v>
      </c>
      <c r="L31" s="122">
        <v>8</v>
      </c>
      <c r="M31" s="75">
        <f t="shared" ref="M31:M32" si="65">SUM(I31:L31)</f>
        <v>9</v>
      </c>
      <c r="N31" s="31"/>
      <c r="O31" s="31">
        <v>-0.4</v>
      </c>
      <c r="P31" s="31">
        <v>3.9</v>
      </c>
      <c r="Q31" s="31">
        <v>3.9</v>
      </c>
      <c r="R31" s="122">
        <v>7.1999999999999993</v>
      </c>
      <c r="S31" s="75">
        <f t="shared" ref="S31:S32" si="66">SUM(O31:R31)</f>
        <v>14.6</v>
      </c>
      <c r="U31" s="31">
        <v>-1.8</v>
      </c>
      <c r="V31" s="31"/>
      <c r="W31" s="31"/>
      <c r="X31" s="122"/>
      <c r="Y31" s="75">
        <f t="shared" ref="Y31:Y32" si="67">SUM(U31:X31)</f>
        <v>-1.8</v>
      </c>
    </row>
    <row r="32" spans="1:25" ht="12.75" customHeight="1" x14ac:dyDescent="0.2">
      <c r="A32" s="2" t="s">
        <v>187</v>
      </c>
      <c r="C32" s="31">
        <v>0</v>
      </c>
      <c r="D32" s="31">
        <v>0</v>
      </c>
      <c r="E32" s="31">
        <v>0</v>
      </c>
      <c r="F32" s="122">
        <v>0</v>
      </c>
      <c r="G32" s="75">
        <f t="shared" si="64"/>
        <v>0</v>
      </c>
      <c r="H32" s="31"/>
      <c r="I32" s="31">
        <v>0</v>
      </c>
      <c r="J32" s="31">
        <v>0</v>
      </c>
      <c r="K32" s="31">
        <v>0</v>
      </c>
      <c r="L32" s="122">
        <v>0.1</v>
      </c>
      <c r="M32" s="75">
        <f t="shared" si="65"/>
        <v>0.1</v>
      </c>
      <c r="N32" s="31"/>
      <c r="O32" s="31">
        <v>0</v>
      </c>
      <c r="P32" s="31">
        <v>0</v>
      </c>
      <c r="Q32" s="31">
        <v>0</v>
      </c>
      <c r="R32" s="122">
        <v>0</v>
      </c>
      <c r="S32" s="75">
        <f t="shared" si="66"/>
        <v>0</v>
      </c>
      <c r="U32" s="31">
        <v>0</v>
      </c>
      <c r="V32" s="31"/>
      <c r="W32" s="31"/>
      <c r="X32" s="122"/>
      <c r="Y32" s="75">
        <f t="shared" si="67"/>
        <v>0</v>
      </c>
    </row>
    <row r="33" spans="1:144" s="53" customFormat="1" ht="12.75" customHeight="1" x14ac:dyDescent="0.2">
      <c r="A33" s="48" t="s">
        <v>154</v>
      </c>
      <c r="C33" s="79">
        <f>+SUM(C30:C32)</f>
        <v>15.699999999999998</v>
      </c>
      <c r="D33" s="79">
        <f t="shared" ref="D33" si="68">+SUM(D30:D32)</f>
        <v>43.6</v>
      </c>
      <c r="E33" s="79">
        <f t="shared" ref="E33" si="69">+SUM(E30:E32)</f>
        <v>43</v>
      </c>
      <c r="F33" s="132">
        <f t="shared" ref="F33" si="70">+SUM(F30:F32)</f>
        <v>39.5</v>
      </c>
      <c r="G33" s="80">
        <f t="shared" ref="G33" si="71">+SUM(G30:G32)</f>
        <v>141.80000000000001</v>
      </c>
      <c r="H33" s="82"/>
      <c r="I33" s="79">
        <f t="shared" ref="I33" si="72">+SUM(I30:I32)</f>
        <v>18.899999999999999</v>
      </c>
      <c r="J33" s="79">
        <f t="shared" ref="J33" si="73">+SUM(J30:J32)</f>
        <v>33.1</v>
      </c>
      <c r="K33" s="79">
        <f t="shared" ref="K33" si="74">+SUM(K30:K32)</f>
        <v>27.6</v>
      </c>
      <c r="L33" s="132">
        <f t="shared" ref="L33" si="75">+SUM(L30:L32)</f>
        <v>-0.30000000000000038</v>
      </c>
      <c r="M33" s="80">
        <f t="shared" ref="M33" si="76">+SUM(M30:M32)</f>
        <v>79.3</v>
      </c>
      <c r="N33" s="82"/>
      <c r="O33" s="79">
        <f t="shared" ref="O33" si="77">+SUM(O30:O32)</f>
        <v>-2.8000000000000003</v>
      </c>
      <c r="P33" s="79">
        <f t="shared" ref="P33" si="78">+SUM(P30:P32)</f>
        <v>13.299999999999999</v>
      </c>
      <c r="Q33" s="79">
        <f t="shared" ref="Q33" si="79">+SUM(Q30:Q32)</f>
        <v>10.799999999999999</v>
      </c>
      <c r="R33" s="132">
        <f t="shared" ref="R33" si="80">+SUM(R30:R32)</f>
        <v>8.3999999999999968</v>
      </c>
      <c r="S33" s="80">
        <f>+SUM(S30:S32)</f>
        <v>29.699999999999996</v>
      </c>
      <c r="U33" s="79">
        <f t="shared" ref="U33" si="81">+SUM(U30:U32)</f>
        <v>8.3999999999999986</v>
      </c>
      <c r="V33" s="79"/>
      <c r="W33" s="79"/>
      <c r="X33" s="132"/>
      <c r="Y33" s="80">
        <f t="shared" ref="Y33" si="82">+SUM(Y30:Y32)</f>
        <v>8.3999999999999986</v>
      </c>
    </row>
    <row r="34" spans="1:144" s="63" customFormat="1" ht="12.75" customHeight="1" x14ac:dyDescent="0.2">
      <c r="C34" s="67"/>
      <c r="D34" s="67"/>
      <c r="E34" s="67"/>
      <c r="F34" s="67"/>
      <c r="G34" s="68"/>
      <c r="I34" s="67"/>
      <c r="J34" s="67"/>
      <c r="K34" s="67"/>
      <c r="L34" s="67"/>
      <c r="M34" s="68"/>
      <c r="O34" s="67"/>
      <c r="P34" s="67"/>
      <c r="Q34" s="67"/>
      <c r="R34" s="67"/>
      <c r="S34" s="68"/>
      <c r="U34" s="67"/>
      <c r="V34" s="67"/>
      <c r="W34" s="67"/>
      <c r="X34" s="67"/>
      <c r="Y34" s="68"/>
    </row>
    <row r="35" spans="1:144" s="5" customFormat="1" ht="12.75" customHeight="1" x14ac:dyDescent="0.2">
      <c r="A35" s="2" t="s">
        <v>189</v>
      </c>
      <c r="C35" s="251">
        <v>-14.6</v>
      </c>
      <c r="D35" s="251">
        <v>-5.0999999999999996</v>
      </c>
      <c r="E35" s="251">
        <v>-7.5</v>
      </c>
      <c r="F35" s="251">
        <v>-17.7</v>
      </c>
      <c r="G35" s="250">
        <f t="shared" ref="G35" si="83">SUM(C35:F35)</f>
        <v>-44.9</v>
      </c>
      <c r="H35" s="202"/>
      <c r="I35" s="251">
        <v>-3.1</v>
      </c>
      <c r="J35" s="251">
        <v>-7.5</v>
      </c>
      <c r="K35" s="251">
        <v>-9.8000000000000007</v>
      </c>
      <c r="L35" s="251">
        <f>+M35-I35-J35-K35</f>
        <v>-9.0999999999999979</v>
      </c>
      <c r="M35" s="250">
        <v>-29.5</v>
      </c>
      <c r="N35" s="202"/>
      <c r="O35" s="251">
        <v>3</v>
      </c>
      <c r="P35" s="251">
        <v>-3.9</v>
      </c>
      <c r="Q35" s="251">
        <v>-4.9000000000000004</v>
      </c>
      <c r="R35" s="251">
        <f>+S35-O35-P35-Q35</f>
        <v>-6.1999999999999993</v>
      </c>
      <c r="S35" s="250">
        <v>-12</v>
      </c>
      <c r="U35" s="251">
        <v>-0.4</v>
      </c>
      <c r="V35" s="249"/>
      <c r="W35" s="249"/>
      <c r="X35" s="249"/>
      <c r="Y35" s="75">
        <f>SUM(U35:X35)</f>
        <v>-0.4</v>
      </c>
      <c r="EN35" s="27"/>
    </row>
    <row r="36" spans="1:144" s="5" customFormat="1" ht="12.75" customHeight="1" x14ac:dyDescent="0.2">
      <c r="C36" s="28"/>
      <c r="D36" s="28"/>
      <c r="E36" s="28"/>
      <c r="F36" s="28"/>
      <c r="G36" s="64"/>
      <c r="I36" s="28"/>
      <c r="J36" s="28"/>
      <c r="K36" s="28"/>
      <c r="L36" s="28"/>
      <c r="M36" s="64"/>
      <c r="O36" s="28"/>
      <c r="P36" s="28"/>
      <c r="Q36" s="28"/>
      <c r="R36" s="28"/>
      <c r="S36" s="64"/>
      <c r="U36" s="28"/>
      <c r="V36" s="28"/>
      <c r="W36" s="28"/>
      <c r="X36" s="28"/>
      <c r="Y36" s="64"/>
      <c r="EN36" s="27"/>
    </row>
    <row r="37" spans="1:144" s="5" customFormat="1" ht="12.75" customHeight="1" x14ac:dyDescent="0.2">
      <c r="A37" s="5" t="s">
        <v>1</v>
      </c>
      <c r="C37" s="28"/>
      <c r="D37" s="28"/>
      <c r="E37" s="28"/>
      <c r="F37" s="28"/>
      <c r="G37" s="64"/>
      <c r="I37" s="28"/>
      <c r="J37" s="28"/>
      <c r="K37" s="28"/>
      <c r="L37" s="28"/>
      <c r="M37" s="64"/>
      <c r="O37" s="28"/>
      <c r="P37" s="28"/>
      <c r="Q37" s="28"/>
      <c r="R37" s="28"/>
      <c r="S37" s="64"/>
      <c r="U37" s="28"/>
      <c r="V37" s="28"/>
      <c r="W37" s="28"/>
      <c r="X37" s="28"/>
      <c r="Y37" s="64"/>
      <c r="EN37" s="27"/>
    </row>
    <row r="38" spans="1:144" s="1" customFormat="1" ht="12.75" customHeight="1" x14ac:dyDescent="0.2">
      <c r="A38" s="3" t="s">
        <v>145</v>
      </c>
      <c r="C38" s="3">
        <v>3.1999999999999975</v>
      </c>
      <c r="D38" s="3">
        <v>37.799999999999997</v>
      </c>
      <c r="E38" s="3">
        <v>36.299999999999997</v>
      </c>
      <c r="F38" s="3">
        <v>16.099999999999998</v>
      </c>
      <c r="G38" s="75">
        <f>SUM(C38:F38)</f>
        <v>93.399999999999977</v>
      </c>
      <c r="I38" s="227">
        <v>17.299999999999997</v>
      </c>
      <c r="J38" s="227">
        <v>24.6</v>
      </c>
      <c r="K38" s="227">
        <v>16.3</v>
      </c>
      <c r="L38" s="227">
        <v>-17.399999999999999</v>
      </c>
      <c r="M38" s="75">
        <f>SUM(I38:L38)</f>
        <v>40.800000000000004</v>
      </c>
      <c r="N38" s="5"/>
      <c r="O38" s="227">
        <v>0.59999999999999964</v>
      </c>
      <c r="P38" s="227">
        <v>5.4999999999999982</v>
      </c>
      <c r="Q38" s="227">
        <v>1.9999999999999991</v>
      </c>
      <c r="R38" s="227">
        <v>-5.0000000000000018</v>
      </c>
      <c r="S38" s="75">
        <f>SUM(O38:R38)</f>
        <v>3.0999999999999961</v>
      </c>
      <c r="T38" s="227"/>
      <c r="U38" s="227">
        <f>+U30+U35</f>
        <v>9.7999999999999989</v>
      </c>
      <c r="V38" s="227"/>
      <c r="W38" s="227"/>
      <c r="X38" s="227"/>
      <c r="Y38" s="75">
        <f>SUM(U38:X38)</f>
        <v>9.7999999999999989</v>
      </c>
      <c r="EN38" s="4"/>
    </row>
    <row r="39" spans="1:144" s="162" customFormat="1" ht="12.75" customHeight="1" x14ac:dyDescent="0.2">
      <c r="A39" s="162" t="s">
        <v>144</v>
      </c>
      <c r="C39" s="162">
        <v>-2.1</v>
      </c>
      <c r="D39" s="162">
        <v>0.7</v>
      </c>
      <c r="E39" s="162">
        <v>-0.8</v>
      </c>
      <c r="F39" s="162">
        <v>5.7</v>
      </c>
      <c r="G39" s="88">
        <f>SUM(C39:F39)</f>
        <v>3.5</v>
      </c>
      <c r="I39" s="210">
        <v>-1.5</v>
      </c>
      <c r="J39" s="210">
        <v>1</v>
      </c>
      <c r="K39" s="210">
        <v>1.5</v>
      </c>
      <c r="L39" s="210">
        <v>8</v>
      </c>
      <c r="M39" s="88">
        <f>SUM(I39:L39)</f>
        <v>9</v>
      </c>
      <c r="N39" s="5"/>
      <c r="O39" s="210">
        <v>-0.4</v>
      </c>
      <c r="P39" s="210">
        <v>3.9</v>
      </c>
      <c r="Q39" s="210">
        <v>3.9</v>
      </c>
      <c r="R39" s="210">
        <v>7.1999999999999993</v>
      </c>
      <c r="S39" s="88">
        <f>SUM(O39:R39)</f>
        <v>14.6</v>
      </c>
      <c r="T39" s="210"/>
      <c r="U39" s="210">
        <f>+U31</f>
        <v>-1.8</v>
      </c>
      <c r="V39" s="210"/>
      <c r="W39" s="210"/>
      <c r="X39" s="210"/>
      <c r="Y39" s="88">
        <f>SUM(U39:X39)</f>
        <v>-1.8</v>
      </c>
    </row>
    <row r="40" spans="1:144" s="53" customFormat="1" ht="12.75" customHeight="1" x14ac:dyDescent="0.2">
      <c r="A40" s="48" t="s">
        <v>154</v>
      </c>
      <c r="C40" s="79">
        <f>+SUM(C38:C39)</f>
        <v>1.0999999999999974</v>
      </c>
      <c r="D40" s="79">
        <f>+SUM(D38:D39)</f>
        <v>38.5</v>
      </c>
      <c r="E40" s="79">
        <f>+SUM(E38:E39)</f>
        <v>35.5</v>
      </c>
      <c r="F40" s="132">
        <f>+SUM(F38:F39)</f>
        <v>21.799999999999997</v>
      </c>
      <c r="G40" s="80">
        <f>+SUM(G38:G39)</f>
        <v>96.899999999999977</v>
      </c>
      <c r="H40" s="82"/>
      <c r="I40" s="79">
        <f>+SUM(I38:I39)</f>
        <v>15.799999999999997</v>
      </c>
      <c r="J40" s="79">
        <f>+SUM(J38:J39)</f>
        <v>25.6</v>
      </c>
      <c r="K40" s="79">
        <f>+SUM(K38:K39)</f>
        <v>17.8</v>
      </c>
      <c r="L40" s="132">
        <f>+SUM(L38:L39)</f>
        <v>-9.3999999999999986</v>
      </c>
      <c r="M40" s="80">
        <f>+SUM(M38:M39)</f>
        <v>49.800000000000004</v>
      </c>
      <c r="N40" s="82"/>
      <c r="O40" s="79">
        <f>+SUM(O38:O39)</f>
        <v>0.19999999999999962</v>
      </c>
      <c r="P40" s="79">
        <f>+SUM(P38:P39)</f>
        <v>9.3999999999999986</v>
      </c>
      <c r="Q40" s="79">
        <f>+SUM(Q38:Q39)</f>
        <v>5.8999999999999986</v>
      </c>
      <c r="R40" s="132">
        <f>+SUM(R38:R39)</f>
        <v>2.1999999999999975</v>
      </c>
      <c r="S40" s="80">
        <f>+SUM(S38:S39)</f>
        <v>17.699999999999996</v>
      </c>
      <c r="U40" s="79">
        <f>+SUM(U38:U39)</f>
        <v>7.9999999999999991</v>
      </c>
      <c r="V40" s="79"/>
      <c r="W40" s="79"/>
      <c r="X40" s="132"/>
      <c r="Y40" s="80">
        <f>+SUM(Y38:Y39)</f>
        <v>7.9999999999999991</v>
      </c>
    </row>
    <row r="41" spans="1:144" ht="12.75" customHeight="1" x14ac:dyDescent="0.2">
      <c r="G41" s="54"/>
      <c r="M41" s="54"/>
      <c r="S41" s="54"/>
      <c r="Y41" s="54"/>
    </row>
    <row r="42" spans="1:144" ht="12.75" customHeight="1" x14ac:dyDescent="0.2">
      <c r="A42" s="5" t="s">
        <v>190</v>
      </c>
      <c r="G42" s="54"/>
      <c r="M42" s="54"/>
      <c r="S42" s="54"/>
      <c r="Y42" s="54"/>
    </row>
    <row r="43" spans="1:144" ht="12.75" customHeight="1" x14ac:dyDescent="0.2">
      <c r="A43" s="2" t="s">
        <v>184</v>
      </c>
      <c r="C43" s="31">
        <v>0.5</v>
      </c>
      <c r="D43" s="31">
        <v>17.8</v>
      </c>
      <c r="E43" s="31">
        <v>18.3</v>
      </c>
      <c r="F43" s="122">
        <v>14.8</v>
      </c>
      <c r="G43" s="75">
        <f>SUM(C43:F43)</f>
        <v>51.400000000000006</v>
      </c>
      <c r="H43" s="31"/>
      <c r="I43" s="31">
        <v>2.5</v>
      </c>
      <c r="J43" s="31">
        <v>10.6</v>
      </c>
      <c r="K43" s="31">
        <v>12.1</v>
      </c>
      <c r="L43" s="122">
        <v>-25.5</v>
      </c>
      <c r="M43" s="75">
        <f>SUM(I43:L43)</f>
        <v>-0.30000000000000071</v>
      </c>
      <c r="O43" s="31">
        <v>-15.4</v>
      </c>
      <c r="P43" s="31">
        <v>-11</v>
      </c>
      <c r="Q43" s="31">
        <v>-11.7</v>
      </c>
      <c r="R43" s="122">
        <v>-15.299999999999997</v>
      </c>
      <c r="S43" s="75">
        <f>SUM(O43:R43)</f>
        <v>-53.399999999999991</v>
      </c>
      <c r="U43" s="31">
        <v>-10.5</v>
      </c>
      <c r="V43" s="31"/>
      <c r="W43" s="31"/>
      <c r="X43" s="122"/>
      <c r="Y43" s="75">
        <f>SUM(U43:X43)</f>
        <v>-10.5</v>
      </c>
      <c r="Z43" s="3"/>
    </row>
    <row r="44" spans="1:144" ht="12.75" customHeight="1" x14ac:dyDescent="0.2">
      <c r="A44" s="2" t="s">
        <v>185</v>
      </c>
      <c r="C44" s="31">
        <v>7.8</v>
      </c>
      <c r="D44" s="31">
        <v>3.6</v>
      </c>
      <c r="E44" s="31">
        <v>0.8</v>
      </c>
      <c r="F44" s="122">
        <v>-0.5</v>
      </c>
      <c r="G44" s="75">
        <f t="shared" ref="G44:G46" si="84">SUM(C44:F44)</f>
        <v>11.700000000000001</v>
      </c>
      <c r="H44" s="31"/>
      <c r="I44" s="31">
        <v>-3</v>
      </c>
      <c r="J44" s="31">
        <v>2.1</v>
      </c>
      <c r="K44" s="31">
        <v>-2.2000000000000002</v>
      </c>
      <c r="L44" s="122">
        <v>-1.5</v>
      </c>
      <c r="M44" s="75">
        <f t="shared" ref="M44:M46" si="85">SUM(I44:L44)</f>
        <v>-4.5999999999999996</v>
      </c>
      <c r="O44" s="31">
        <v>-2.7</v>
      </c>
      <c r="P44" s="31">
        <v>-0.7</v>
      </c>
      <c r="Q44" s="31">
        <v>-1.8</v>
      </c>
      <c r="R44" s="122">
        <v>-9.6000000000000014</v>
      </c>
      <c r="S44" s="75">
        <f t="shared" ref="S44:S46" si="86">SUM(O44:R44)</f>
        <v>-14.8</v>
      </c>
      <c r="U44" s="31">
        <v>-0.8</v>
      </c>
      <c r="V44" s="31"/>
      <c r="W44" s="31"/>
      <c r="X44" s="122"/>
      <c r="Y44" s="75">
        <f t="shared" ref="Y44:Y46" si="87">SUM(U44:X44)</f>
        <v>-0.8</v>
      </c>
      <c r="Z44" s="3"/>
    </row>
    <row r="45" spans="1:144" ht="12.75" customHeight="1" x14ac:dyDescent="0.2">
      <c r="A45" s="2" t="s">
        <v>186</v>
      </c>
      <c r="C45" s="31">
        <v>0.5</v>
      </c>
      <c r="D45" s="31">
        <v>4.9000000000000004</v>
      </c>
      <c r="E45" s="31">
        <v>2.2999999999999998</v>
      </c>
      <c r="F45" s="122">
        <v>1.7</v>
      </c>
      <c r="G45" s="75">
        <f t="shared" si="84"/>
        <v>9.4</v>
      </c>
      <c r="H45" s="31"/>
      <c r="I45" s="31">
        <v>5.0999999999999996</v>
      </c>
      <c r="J45" s="31">
        <v>2.8</v>
      </c>
      <c r="K45" s="31">
        <v>1.2</v>
      </c>
      <c r="L45" s="122">
        <v>2.9</v>
      </c>
      <c r="M45" s="75">
        <f t="shared" si="85"/>
        <v>12</v>
      </c>
      <c r="O45" s="31">
        <v>1.2</v>
      </c>
      <c r="P45" s="31">
        <v>3.6</v>
      </c>
      <c r="Q45" s="31">
        <v>2.9</v>
      </c>
      <c r="R45" s="122">
        <v>1</v>
      </c>
      <c r="S45" s="75">
        <f t="shared" si="86"/>
        <v>8.6999999999999993</v>
      </c>
      <c r="U45" s="31">
        <v>1.7</v>
      </c>
      <c r="V45" s="31"/>
      <c r="W45" s="31"/>
      <c r="X45" s="122"/>
      <c r="Y45" s="75">
        <f t="shared" si="87"/>
        <v>1.7</v>
      </c>
      <c r="Z45" s="3"/>
    </row>
    <row r="46" spans="1:144" ht="12.75" customHeight="1" x14ac:dyDescent="0.2">
      <c r="A46" s="47" t="s">
        <v>191</v>
      </c>
      <c r="B46" s="47"/>
      <c r="C46" s="77">
        <v>-1.7</v>
      </c>
      <c r="D46" s="77">
        <v>-1.7</v>
      </c>
      <c r="E46" s="77">
        <v>-0.6</v>
      </c>
      <c r="F46" s="239">
        <v>-4.5999999999999996</v>
      </c>
      <c r="G46" s="78">
        <f t="shared" si="84"/>
        <v>-8.6</v>
      </c>
      <c r="H46" s="31"/>
      <c r="I46" s="31">
        <v>-4</v>
      </c>
      <c r="J46" s="77">
        <v>-2.7</v>
      </c>
      <c r="K46" s="77">
        <v>-4.3</v>
      </c>
      <c r="L46" s="239">
        <v>-5.3</v>
      </c>
      <c r="M46" s="78">
        <f t="shared" si="85"/>
        <v>-16.3</v>
      </c>
      <c r="O46" s="77">
        <v>-6.1</v>
      </c>
      <c r="P46" s="77">
        <v>-2.8</v>
      </c>
      <c r="Q46" s="77">
        <v>-3.3</v>
      </c>
      <c r="R46" s="239">
        <v>-4</v>
      </c>
      <c r="S46" s="78">
        <f t="shared" si="86"/>
        <v>-16.2</v>
      </c>
      <c r="U46" s="77">
        <v>-0.9</v>
      </c>
      <c r="V46" s="77"/>
      <c r="W46" s="77"/>
      <c r="X46" s="239"/>
      <c r="Y46" s="78">
        <f t="shared" si="87"/>
        <v>-0.9</v>
      </c>
      <c r="Z46" s="3"/>
    </row>
    <row r="47" spans="1:144" s="53" customFormat="1" ht="12.75" customHeight="1" x14ac:dyDescent="0.2">
      <c r="A47" s="48" t="s">
        <v>145</v>
      </c>
      <c r="C47" s="79">
        <f>+SUM(C43:C46)</f>
        <v>7.1000000000000005</v>
      </c>
      <c r="D47" s="79">
        <f t="shared" ref="D47" si="88">+SUM(D43:D46)</f>
        <v>24.600000000000005</v>
      </c>
      <c r="E47" s="79">
        <f t="shared" ref="E47" si="89">+SUM(E43:E46)</f>
        <v>20.8</v>
      </c>
      <c r="F47" s="132">
        <f t="shared" ref="F47" si="90">+SUM(F43:F46)</f>
        <v>11.4</v>
      </c>
      <c r="G47" s="80">
        <f>+SUM(G43:G46)</f>
        <v>63.900000000000013</v>
      </c>
      <c r="H47" s="82"/>
      <c r="I47" s="79">
        <f>+SUM(I43:I46)</f>
        <v>0.59999999999999964</v>
      </c>
      <c r="J47" s="79">
        <f t="shared" ref="J47" si="91">+SUM(J43:J46)</f>
        <v>12.8</v>
      </c>
      <c r="K47" s="79">
        <f t="shared" ref="K47" si="92">+SUM(K43:K46)</f>
        <v>6.799999999999998</v>
      </c>
      <c r="L47" s="132">
        <f t="shared" ref="L47" si="93">+SUM(L43:L46)</f>
        <v>-29.400000000000002</v>
      </c>
      <c r="M47" s="80">
        <f>+SUM(M43:M46)</f>
        <v>-9.2000000000000011</v>
      </c>
      <c r="N47" s="82"/>
      <c r="O47" s="79">
        <f>+SUM(O43:O46)</f>
        <v>-23</v>
      </c>
      <c r="P47" s="79">
        <f t="shared" ref="P47" si="94">+SUM(P43:P46)</f>
        <v>-10.899999999999999</v>
      </c>
      <c r="Q47" s="79">
        <f t="shared" ref="Q47" si="95">+SUM(Q43:Q46)</f>
        <v>-13.899999999999999</v>
      </c>
      <c r="R47" s="132">
        <f t="shared" ref="R47" si="96">+SUM(R43:R46)</f>
        <v>-27.9</v>
      </c>
      <c r="S47" s="80">
        <f>+SUM(S43:S46)</f>
        <v>-75.699999999999989</v>
      </c>
      <c r="U47" s="79">
        <f>+SUM(U43:U46)</f>
        <v>-10.500000000000002</v>
      </c>
      <c r="V47" s="79"/>
      <c r="W47" s="79"/>
      <c r="X47" s="132"/>
      <c r="Y47" s="80">
        <f>+SUM(Y43:Y46)</f>
        <v>-10.500000000000002</v>
      </c>
      <c r="Z47" s="267"/>
    </row>
    <row r="48" spans="1:144" s="5" customFormat="1" ht="12.75" customHeight="1" x14ac:dyDescent="0.2">
      <c r="A48" s="2" t="s">
        <v>144</v>
      </c>
      <c r="B48" s="2"/>
      <c r="C48" s="31">
        <v>-3.1</v>
      </c>
      <c r="D48" s="31">
        <v>-0.5</v>
      </c>
      <c r="E48" s="31">
        <v>-1.8</v>
      </c>
      <c r="F48" s="122">
        <v>3.7</v>
      </c>
      <c r="G48" s="75">
        <f t="shared" ref="G48" si="97">SUM(C48:F48)</f>
        <v>-1.7000000000000002</v>
      </c>
      <c r="I48" s="31">
        <v>-3.1</v>
      </c>
      <c r="J48" s="31">
        <v>-1</v>
      </c>
      <c r="K48" s="85">
        <v>0</v>
      </c>
      <c r="L48" s="122">
        <v>5.3</v>
      </c>
      <c r="M48" s="75">
        <f>SUM(I48:L48)</f>
        <v>1.2000000000000002</v>
      </c>
      <c r="N48" s="1"/>
      <c r="O48" s="31">
        <v>-2.6</v>
      </c>
      <c r="P48" s="31">
        <v>1.5</v>
      </c>
      <c r="Q48" s="31">
        <v>1.8</v>
      </c>
      <c r="R48" s="122">
        <v>4</v>
      </c>
      <c r="S48" s="75">
        <f t="shared" ref="S48" si="98">SUM(O48:R48)</f>
        <v>4.7</v>
      </c>
      <c r="U48" s="31">
        <v>-4.3</v>
      </c>
      <c r="V48" s="31"/>
      <c r="W48" s="31"/>
      <c r="X48" s="122"/>
      <c r="Y48" s="75">
        <f t="shared" ref="Y48" si="99">SUM(U48:X48)</f>
        <v>-4.3</v>
      </c>
      <c r="Z48" s="1"/>
      <c r="EN48" s="27"/>
    </row>
    <row r="49" spans="1:144" s="53" customFormat="1" ht="12.75" customHeight="1" x14ac:dyDescent="0.2">
      <c r="A49" s="48" t="s">
        <v>154</v>
      </c>
      <c r="C49" s="79">
        <f>+SUM(C47:C48)</f>
        <v>4</v>
      </c>
      <c r="D49" s="79">
        <f>+SUM(D47:D48)</f>
        <v>24.100000000000005</v>
      </c>
      <c r="E49" s="79">
        <f>+SUM(E47:E48)</f>
        <v>19</v>
      </c>
      <c r="F49" s="132">
        <f>+SUM(F47:F48)</f>
        <v>15.100000000000001</v>
      </c>
      <c r="G49" s="80">
        <f>+SUM(G47:G48)</f>
        <v>62.20000000000001</v>
      </c>
      <c r="H49" s="82"/>
      <c r="I49" s="79">
        <f>+SUM(I47:I48)</f>
        <v>-2.5000000000000004</v>
      </c>
      <c r="J49" s="79">
        <f>+SUM(J47:J48)</f>
        <v>11.8</v>
      </c>
      <c r="K49" s="79">
        <f>+SUM(K47:K48)</f>
        <v>6.799999999999998</v>
      </c>
      <c r="L49" s="132">
        <f>+SUM(L47:L48)</f>
        <v>-24.1</v>
      </c>
      <c r="M49" s="80">
        <f>+SUM(M47:M48)</f>
        <v>-8</v>
      </c>
      <c r="N49" s="282"/>
      <c r="O49" s="79">
        <f>+SUM(O47:O48)</f>
        <v>-25.6</v>
      </c>
      <c r="P49" s="79">
        <f>+SUM(P47:P48)</f>
        <v>-9.3999999999999986</v>
      </c>
      <c r="Q49" s="79">
        <f>+SUM(Q47:Q48)</f>
        <v>-12.099999999999998</v>
      </c>
      <c r="R49" s="132">
        <f>+SUM(R47:R48)</f>
        <v>-23.9</v>
      </c>
      <c r="S49" s="80">
        <f>+SUM(S47:S48)</f>
        <v>-70.999999999999986</v>
      </c>
      <c r="U49" s="79">
        <f>+SUM(U47:U48)</f>
        <v>-14.8</v>
      </c>
      <c r="V49" s="79"/>
      <c r="W49" s="79"/>
      <c r="X49" s="132"/>
      <c r="Y49" s="80">
        <f>+SUM(Y47:Y48)</f>
        <v>-14.8</v>
      </c>
      <c r="Z49" s="267"/>
    </row>
    <row r="50" spans="1:144" s="5" customFormat="1" ht="12.75" customHeight="1" x14ac:dyDescent="0.2">
      <c r="B50" s="63"/>
      <c r="G50" s="36"/>
      <c r="M50" s="36"/>
      <c r="S50" s="36"/>
      <c r="Y50" s="36"/>
      <c r="EN50" s="27"/>
    </row>
    <row r="51" spans="1:144" s="1" customFormat="1" ht="12.75" customHeight="1" x14ac:dyDescent="0.2">
      <c r="A51" s="1" t="s">
        <v>2</v>
      </c>
      <c r="B51" s="5"/>
      <c r="G51" s="36"/>
      <c r="M51" s="36"/>
      <c r="S51" s="36"/>
      <c r="Y51" s="36"/>
      <c r="EN51" s="4"/>
    </row>
    <row r="52" spans="1:144" s="1" customFormat="1" ht="12.75" customHeight="1" x14ac:dyDescent="0.2">
      <c r="A52" s="3" t="s">
        <v>145</v>
      </c>
      <c r="B52" s="5"/>
      <c r="C52" s="3">
        <v>-7.5</v>
      </c>
      <c r="D52" s="3">
        <v>19.5</v>
      </c>
      <c r="E52" s="3">
        <v>13.3</v>
      </c>
      <c r="F52" s="3">
        <v>-6.3000000000000007</v>
      </c>
      <c r="G52" s="75">
        <f>SUM(C52:F52)</f>
        <v>19</v>
      </c>
      <c r="I52" s="227">
        <v>-2.5</v>
      </c>
      <c r="J52" s="227">
        <v>5.3</v>
      </c>
      <c r="K52" s="227">
        <v>-3</v>
      </c>
      <c r="L52" s="227">
        <v>-38.4</v>
      </c>
      <c r="M52" s="75">
        <f>SUM(I52:L52)</f>
        <v>-38.6</v>
      </c>
      <c r="O52" s="227">
        <v>-20</v>
      </c>
      <c r="P52" s="227">
        <v>-14.8</v>
      </c>
      <c r="Q52" s="227">
        <v>-18.8</v>
      </c>
      <c r="R52" s="227">
        <v>-34.100000000000009</v>
      </c>
      <c r="S52" s="75">
        <f>SUM(O52:R52)</f>
        <v>-87.7</v>
      </c>
      <c r="U52" s="3">
        <v>-10.9</v>
      </c>
      <c r="Y52" s="75">
        <f>SUM(U52:X52)</f>
        <v>-10.9</v>
      </c>
      <c r="EN52" s="4"/>
    </row>
    <row r="53" spans="1:144" s="1" customFormat="1" ht="12.75" customHeight="1" x14ac:dyDescent="0.2">
      <c r="A53" s="3" t="s">
        <v>144</v>
      </c>
      <c r="B53" s="5"/>
      <c r="C53" s="47">
        <v>-3.1</v>
      </c>
      <c r="D53" s="47">
        <v>-0.5</v>
      </c>
      <c r="E53" s="47">
        <v>-1.8</v>
      </c>
      <c r="F53" s="47">
        <v>3.7</v>
      </c>
      <c r="G53" s="75">
        <f>SUM(C53:F53)</f>
        <v>-1.7000000000000002</v>
      </c>
      <c r="I53" s="203">
        <v>-3.1</v>
      </c>
      <c r="J53" s="203">
        <v>-1</v>
      </c>
      <c r="K53" s="203">
        <v>0</v>
      </c>
      <c r="L53" s="203">
        <v>5.2</v>
      </c>
      <c r="M53" s="75">
        <f>SUM(I53:L53)</f>
        <v>1.1000000000000005</v>
      </c>
      <c r="O53" s="203">
        <v>-2.6</v>
      </c>
      <c r="P53" s="203">
        <v>1.5</v>
      </c>
      <c r="Q53" s="203">
        <v>1.8</v>
      </c>
      <c r="R53" s="203">
        <v>4.0000000000000009</v>
      </c>
      <c r="S53" s="75">
        <f>SUM(O53:R53)</f>
        <v>4.7000000000000011</v>
      </c>
      <c r="U53" s="47">
        <v>-4.3</v>
      </c>
      <c r="V53" s="47"/>
      <c r="W53" s="47"/>
      <c r="X53" s="47"/>
      <c r="Y53" s="75">
        <f>SUM(U53:X53)</f>
        <v>-4.3</v>
      </c>
      <c r="EN53" s="4"/>
    </row>
    <row r="54" spans="1:144" s="53" customFormat="1" ht="12.75" customHeight="1" x14ac:dyDescent="0.2">
      <c r="A54" s="48" t="s">
        <v>154</v>
      </c>
      <c r="C54" s="79">
        <f t="shared" ref="C54" si="100">+SUM(C52:C53)</f>
        <v>-10.6</v>
      </c>
      <c r="D54" s="79">
        <f t="shared" ref="D54" si="101">+SUM(D52:D53)</f>
        <v>19</v>
      </c>
      <c r="E54" s="79">
        <f t="shared" ref="E54" si="102">+SUM(E52:E53)</f>
        <v>11.5</v>
      </c>
      <c r="F54" s="132">
        <f t="shared" ref="F54" si="103">+SUM(F52:F53)</f>
        <v>-2.6000000000000005</v>
      </c>
      <c r="G54" s="80">
        <f>+SUM(G52:G53)</f>
        <v>17.3</v>
      </c>
      <c r="H54" s="82"/>
      <c r="I54" s="79">
        <f t="shared" ref="I54" si="104">+SUM(I52:I53)</f>
        <v>-5.6</v>
      </c>
      <c r="J54" s="79">
        <f t="shared" ref="J54" si="105">+SUM(J52:J53)</f>
        <v>4.3</v>
      </c>
      <c r="K54" s="79">
        <f t="shared" ref="K54" si="106">+SUM(K52:K53)</f>
        <v>-3</v>
      </c>
      <c r="L54" s="132">
        <f t="shared" ref="L54" si="107">+SUM(L52:L53)</f>
        <v>-33.199999999999996</v>
      </c>
      <c r="M54" s="80">
        <f>+SUM(M52:M53)</f>
        <v>-37.5</v>
      </c>
      <c r="N54" s="82"/>
      <c r="O54" s="79">
        <f t="shared" ref="O54" si="108">+SUM(O52:O53)</f>
        <v>-22.6</v>
      </c>
      <c r="P54" s="79">
        <f t="shared" ref="P54" si="109">+SUM(P52:P53)</f>
        <v>-13.3</v>
      </c>
      <c r="Q54" s="79">
        <f t="shared" ref="Q54" si="110">+SUM(Q52:Q53)</f>
        <v>-17</v>
      </c>
      <c r="R54" s="132">
        <f t="shared" ref="R54" si="111">+SUM(R52:R53)</f>
        <v>-30.100000000000009</v>
      </c>
      <c r="S54" s="80">
        <f>+SUM(S52:S53)</f>
        <v>-83</v>
      </c>
      <c r="U54" s="79">
        <f t="shared" ref="U54" si="112">+SUM(U52:U53)</f>
        <v>-15.2</v>
      </c>
      <c r="V54" s="79"/>
      <c r="W54" s="79"/>
      <c r="X54" s="132"/>
      <c r="Y54" s="80">
        <f>+SUM(Y52:Y53)</f>
        <v>-15.2</v>
      </c>
    </row>
    <row r="55" spans="1:144" s="162" customFormat="1" ht="12.75" customHeight="1" x14ac:dyDescent="0.2">
      <c r="A55" s="27"/>
      <c r="C55" s="87"/>
      <c r="D55" s="87"/>
      <c r="E55" s="87"/>
      <c r="F55" s="244"/>
      <c r="G55" s="88"/>
      <c r="H55" s="127"/>
      <c r="I55" s="87"/>
      <c r="J55" s="87"/>
      <c r="K55" s="87"/>
      <c r="L55" s="244"/>
      <c r="M55" s="88"/>
      <c r="N55" s="127"/>
      <c r="O55" s="87"/>
      <c r="P55" s="87"/>
      <c r="Q55" s="87"/>
      <c r="R55" s="244"/>
      <c r="S55" s="88"/>
      <c r="U55" s="87"/>
      <c r="V55" s="87"/>
      <c r="W55" s="87"/>
      <c r="X55" s="244"/>
      <c r="Y55" s="88"/>
    </row>
    <row r="56" spans="1:144" s="162" customFormat="1" ht="12.75" customHeight="1" x14ac:dyDescent="0.2">
      <c r="A56" s="1" t="s">
        <v>56</v>
      </c>
      <c r="B56" s="5"/>
      <c r="C56" s="1"/>
      <c r="D56" s="1"/>
      <c r="E56" s="1"/>
      <c r="F56" s="1"/>
      <c r="G56" s="36"/>
      <c r="H56" s="1"/>
      <c r="I56" s="1"/>
      <c r="J56" s="1"/>
      <c r="K56" s="1"/>
      <c r="L56" s="1"/>
      <c r="M56" s="36"/>
      <c r="N56" s="1"/>
      <c r="O56" s="1"/>
      <c r="P56" s="1"/>
      <c r="Q56" s="1"/>
      <c r="R56" s="1"/>
      <c r="S56" s="36"/>
      <c r="T56" s="1"/>
      <c r="U56" s="1"/>
      <c r="V56" s="1"/>
      <c r="W56" s="1"/>
      <c r="X56" s="1"/>
      <c r="Y56" s="36"/>
    </row>
    <row r="57" spans="1:144" s="162" customFormat="1" ht="12.75" customHeight="1" x14ac:dyDescent="0.2">
      <c r="A57" s="3" t="s">
        <v>145</v>
      </c>
      <c r="B57" s="5"/>
      <c r="C57" s="227">
        <v>-23</v>
      </c>
      <c r="D57" s="227">
        <v>8.6</v>
      </c>
      <c r="E57" s="227">
        <v>29.6</v>
      </c>
      <c r="F57" s="227">
        <v>63.000000000000007</v>
      </c>
      <c r="G57" s="253">
        <f>SUM(C57:F57)</f>
        <v>78.2</v>
      </c>
      <c r="H57" s="252"/>
      <c r="I57" s="227">
        <v>-131.80000000000001</v>
      </c>
      <c r="J57" s="227">
        <v>39.799999999999997</v>
      </c>
      <c r="K57" s="227">
        <v>-35.5</v>
      </c>
      <c r="L57" s="227">
        <v>81.200000000000017</v>
      </c>
      <c r="M57" s="253">
        <f>SUM(I57:L57)</f>
        <v>-46.3</v>
      </c>
      <c r="N57" s="252"/>
      <c r="O57" s="227">
        <v>-51.8</v>
      </c>
      <c r="P57" s="227">
        <v>19.3</v>
      </c>
      <c r="Q57" s="227">
        <v>10.4</v>
      </c>
      <c r="R57" s="227">
        <v>139.89999999999998</v>
      </c>
      <c r="S57" s="253">
        <f>SUM(O57:R57)</f>
        <v>117.79999999999998</v>
      </c>
      <c r="T57" s="252"/>
      <c r="U57" s="227">
        <v>-118.3</v>
      </c>
      <c r="V57" s="227"/>
      <c r="W57" s="227"/>
      <c r="X57" s="227"/>
      <c r="Y57" s="75">
        <f>SUM(U57:X57)</f>
        <v>-118.3</v>
      </c>
    </row>
    <row r="58" spans="1:144" s="162" customFormat="1" ht="12.75" customHeight="1" x14ac:dyDescent="0.2">
      <c r="A58" s="3" t="s">
        <v>144</v>
      </c>
      <c r="B58" s="5"/>
      <c r="C58" s="210">
        <v>1.5</v>
      </c>
      <c r="D58" s="210">
        <v>-2.5</v>
      </c>
      <c r="E58" s="210">
        <v>0.9</v>
      </c>
      <c r="F58" s="210">
        <v>-0.29999999999999993</v>
      </c>
      <c r="G58" s="253">
        <f>SUM(C58:F58)</f>
        <v>-0.39999999999999991</v>
      </c>
      <c r="H58" s="252"/>
      <c r="I58" s="210">
        <v>0</v>
      </c>
      <c r="J58" s="210">
        <v>-3.4</v>
      </c>
      <c r="K58" s="210">
        <v>0.7</v>
      </c>
      <c r="L58" s="210">
        <v>6.8</v>
      </c>
      <c r="M58" s="253">
        <f>SUM(I58:L58)</f>
        <v>4.0999999999999996</v>
      </c>
      <c r="N58" s="252"/>
      <c r="O58" s="210">
        <v>-2.8</v>
      </c>
      <c r="P58" s="210">
        <v>3.8</v>
      </c>
      <c r="Q58" s="210">
        <v>0.6</v>
      </c>
      <c r="R58" s="210">
        <v>5.6000000000000005</v>
      </c>
      <c r="S58" s="253">
        <f>SUM(O58:R58)</f>
        <v>7.2000000000000011</v>
      </c>
      <c r="T58" s="252"/>
      <c r="U58" s="210">
        <v>-3.2</v>
      </c>
      <c r="V58" s="210"/>
      <c r="W58" s="210"/>
      <c r="X58" s="210"/>
      <c r="Y58" s="75">
        <f>SUM(U58:X58)</f>
        <v>-3.2</v>
      </c>
    </row>
    <row r="59" spans="1:144" s="53" customFormat="1" ht="12.75" customHeight="1" x14ac:dyDescent="0.2">
      <c r="A59" s="48" t="s">
        <v>154</v>
      </c>
      <c r="C59" s="79">
        <f t="shared" ref="C59" si="113">+SUM(C57:C58)</f>
        <v>-21.5</v>
      </c>
      <c r="D59" s="79">
        <f t="shared" ref="D59" si="114">+SUM(D57:D58)</f>
        <v>6.1</v>
      </c>
      <c r="E59" s="79">
        <f t="shared" ref="E59" si="115">+SUM(E57:E58)</f>
        <v>30.5</v>
      </c>
      <c r="F59" s="132">
        <f t="shared" ref="F59" si="116">+SUM(F57:F58)</f>
        <v>62.70000000000001</v>
      </c>
      <c r="G59" s="80">
        <f>+SUM(G57:G58)</f>
        <v>77.8</v>
      </c>
      <c r="H59" s="82"/>
      <c r="I59" s="79">
        <f t="shared" ref="I59" si="117">+SUM(I57:I58)</f>
        <v>-131.80000000000001</v>
      </c>
      <c r="J59" s="79">
        <f t="shared" ref="J59" si="118">+SUM(J57:J58)</f>
        <v>36.4</v>
      </c>
      <c r="K59" s="79">
        <f t="shared" ref="K59" si="119">+SUM(K57:K58)</f>
        <v>-34.799999999999997</v>
      </c>
      <c r="L59" s="132">
        <f t="shared" ref="L59" si="120">+SUM(L57:L58)</f>
        <v>88.000000000000014</v>
      </c>
      <c r="M59" s="80">
        <f>+SUM(M57:M58)</f>
        <v>-42.199999999999996</v>
      </c>
      <c r="N59" s="82"/>
      <c r="O59" s="79">
        <f t="shared" ref="O59" si="121">+SUM(O57:O58)</f>
        <v>-54.599999999999994</v>
      </c>
      <c r="P59" s="79">
        <f t="shared" ref="P59" si="122">+SUM(P57:P58)</f>
        <v>23.1</v>
      </c>
      <c r="Q59" s="79">
        <f t="shared" ref="Q59" si="123">+SUM(Q57:Q58)</f>
        <v>11</v>
      </c>
      <c r="R59" s="132">
        <f t="shared" ref="R59" si="124">+SUM(R57:R58)</f>
        <v>145.49999999999997</v>
      </c>
      <c r="S59" s="80">
        <f>+SUM(S57:S58)</f>
        <v>124.99999999999999</v>
      </c>
      <c r="U59" s="79">
        <f t="shared" ref="U59" si="125">+SUM(U57:U58)</f>
        <v>-121.5</v>
      </c>
      <c r="V59" s="79"/>
      <c r="W59" s="79"/>
      <c r="X59" s="132"/>
      <c r="Y59" s="80">
        <f>+SUM(Y57:Y58)</f>
        <v>-121.5</v>
      </c>
    </row>
    <row r="60" spans="1:144" s="162" customFormat="1" ht="12.75" customHeight="1" x14ac:dyDescent="0.2">
      <c r="A60" s="27"/>
      <c r="C60" s="87"/>
      <c r="D60" s="87"/>
      <c r="E60" s="87"/>
      <c r="F60" s="244"/>
      <c r="G60" s="88"/>
      <c r="H60" s="127"/>
      <c r="I60" s="87"/>
      <c r="J60" s="87"/>
      <c r="K60" s="87"/>
      <c r="L60" s="244"/>
      <c r="M60" s="88"/>
      <c r="N60" s="127"/>
      <c r="O60" s="87"/>
      <c r="P60" s="87"/>
      <c r="Q60" s="87"/>
      <c r="R60" s="244"/>
      <c r="S60" s="88"/>
      <c r="U60" s="87"/>
      <c r="V60" s="87"/>
      <c r="W60" s="87"/>
      <c r="X60" s="244"/>
      <c r="Y60" s="88"/>
    </row>
    <row r="61" spans="1:144" s="162" customFormat="1" ht="12.75" customHeight="1" x14ac:dyDescent="0.2">
      <c r="A61" s="1" t="s">
        <v>200</v>
      </c>
      <c r="B61" s="5"/>
      <c r="C61" s="1"/>
      <c r="D61" s="1"/>
      <c r="E61" s="1"/>
      <c r="F61" s="1"/>
      <c r="G61" s="36"/>
      <c r="H61" s="1"/>
      <c r="I61" s="1"/>
      <c r="J61" s="1"/>
      <c r="K61" s="1"/>
      <c r="L61" s="1"/>
      <c r="M61" s="36"/>
      <c r="N61" s="1"/>
      <c r="O61" s="1"/>
      <c r="P61" s="1"/>
      <c r="Q61" s="1"/>
      <c r="R61" s="1"/>
      <c r="S61" s="36"/>
      <c r="T61" s="1"/>
      <c r="U61" s="1"/>
      <c r="V61" s="1"/>
      <c r="W61" s="1"/>
      <c r="X61" s="1"/>
      <c r="Y61" s="36"/>
    </row>
    <row r="62" spans="1:144" s="162" customFormat="1" ht="12.75" customHeight="1" x14ac:dyDescent="0.2">
      <c r="A62" s="3" t="s">
        <v>145</v>
      </c>
      <c r="B62" s="5"/>
      <c r="C62" s="227">
        <v>-12.5</v>
      </c>
      <c r="D62" s="227">
        <v>-16.399999999999999</v>
      </c>
      <c r="E62" s="227">
        <v>-13</v>
      </c>
      <c r="F62" s="227">
        <v>-21.1</v>
      </c>
      <c r="G62" s="75">
        <f>SUM(C62:F62)</f>
        <v>-63</v>
      </c>
      <c r="H62" s="1"/>
      <c r="I62" s="227">
        <v>-8.6999999999999993</v>
      </c>
      <c r="J62" s="227">
        <v>-10.9</v>
      </c>
      <c r="K62" s="227">
        <v>-8.6999999999999993</v>
      </c>
      <c r="L62" s="227">
        <v>-20.800000000000008</v>
      </c>
      <c r="M62" s="75">
        <f>SUM(I62:L62)</f>
        <v>-49.100000000000009</v>
      </c>
      <c r="N62" s="1"/>
      <c r="O62" s="227">
        <v>-6.4</v>
      </c>
      <c r="P62" s="227">
        <v>-16.7</v>
      </c>
      <c r="Q62" s="227">
        <v>-13.1</v>
      </c>
      <c r="R62" s="227">
        <v>-16.100000000000001</v>
      </c>
      <c r="S62" s="75">
        <f>SUM(O62:R62)</f>
        <v>-52.300000000000004</v>
      </c>
      <c r="T62" s="1"/>
      <c r="U62" s="227">
        <v>-10</v>
      </c>
      <c r="V62" s="1"/>
      <c r="W62" s="1"/>
      <c r="X62" s="1"/>
      <c r="Y62" s="75">
        <f>SUM(U62:X62)</f>
        <v>-10</v>
      </c>
    </row>
    <row r="63" spans="1:144" s="162" customFormat="1" ht="12.75" customHeight="1" x14ac:dyDescent="0.2">
      <c r="A63" s="3" t="s">
        <v>144</v>
      </c>
      <c r="B63" s="5"/>
      <c r="C63" s="210">
        <v>-1</v>
      </c>
      <c r="D63" s="210">
        <v>-2.2999999999999998</v>
      </c>
      <c r="E63" s="210">
        <v>-1.4</v>
      </c>
      <c r="F63" s="210">
        <v>-2.8000000000000003</v>
      </c>
      <c r="G63" s="75">
        <f>SUM(C63:F63)</f>
        <v>-7.5</v>
      </c>
      <c r="H63" s="1"/>
      <c r="I63" s="210">
        <v>-0.9</v>
      </c>
      <c r="J63" s="210">
        <v>-2.5</v>
      </c>
      <c r="K63" s="210">
        <v>-2.2999999999999998</v>
      </c>
      <c r="L63" s="210">
        <v>-6.1000000000000005</v>
      </c>
      <c r="M63" s="75">
        <f>SUM(I63:L63)</f>
        <v>-11.8</v>
      </c>
      <c r="N63" s="1"/>
      <c r="O63" s="210">
        <v>-3.2</v>
      </c>
      <c r="P63" s="210">
        <v>-4.2</v>
      </c>
      <c r="Q63" s="210">
        <v>-4.2</v>
      </c>
      <c r="R63" s="210">
        <v>-5.1000000000000005</v>
      </c>
      <c r="S63" s="75">
        <f>SUM(O63:R63)</f>
        <v>-16.700000000000003</v>
      </c>
      <c r="T63" s="1"/>
      <c r="U63" s="210">
        <v>-4.4000000000000004</v>
      </c>
      <c r="Y63" s="75">
        <f>SUM(U63:X63)</f>
        <v>-4.4000000000000004</v>
      </c>
    </row>
    <row r="64" spans="1:144" s="53" customFormat="1" ht="12.75" customHeight="1" x14ac:dyDescent="0.2">
      <c r="A64" s="48" t="s">
        <v>154</v>
      </c>
      <c r="C64" s="79">
        <f t="shared" ref="C64" si="126">+SUM(C62:C63)</f>
        <v>-13.5</v>
      </c>
      <c r="D64" s="79">
        <f t="shared" ref="D64" si="127">+SUM(D62:D63)</f>
        <v>-18.7</v>
      </c>
      <c r="E64" s="79">
        <f t="shared" ref="E64" si="128">+SUM(E62:E63)</f>
        <v>-14.4</v>
      </c>
      <c r="F64" s="132">
        <f t="shared" ref="F64" si="129">+SUM(F62:F63)</f>
        <v>-23.900000000000002</v>
      </c>
      <c r="G64" s="80">
        <f>+SUM(G62:G63)</f>
        <v>-70.5</v>
      </c>
      <c r="H64" s="82"/>
      <c r="I64" s="79">
        <f t="shared" ref="I64" si="130">+SUM(I62:I63)</f>
        <v>-9.6</v>
      </c>
      <c r="J64" s="79">
        <f t="shared" ref="J64" si="131">+SUM(J62:J63)</f>
        <v>-13.4</v>
      </c>
      <c r="K64" s="79">
        <f t="shared" ref="K64" si="132">+SUM(K62:K63)</f>
        <v>-11</v>
      </c>
      <c r="L64" s="132">
        <f t="shared" ref="L64" si="133">+SUM(L62:L63)</f>
        <v>-26.900000000000009</v>
      </c>
      <c r="M64" s="80">
        <f>+SUM(M62:M63)</f>
        <v>-60.900000000000006</v>
      </c>
      <c r="N64" s="82"/>
      <c r="O64" s="79">
        <f t="shared" ref="O64" si="134">+SUM(O62:O63)</f>
        <v>-9.6000000000000014</v>
      </c>
      <c r="P64" s="79">
        <f t="shared" ref="P64" si="135">+SUM(P62:P63)</f>
        <v>-20.9</v>
      </c>
      <c r="Q64" s="79">
        <f t="shared" ref="Q64" si="136">+SUM(Q62:Q63)</f>
        <v>-17.3</v>
      </c>
      <c r="R64" s="132">
        <f t="shared" ref="R64" si="137">+SUM(R62:R63)</f>
        <v>-21.200000000000003</v>
      </c>
      <c r="S64" s="80">
        <f>+SUM(S62:S63)</f>
        <v>-69</v>
      </c>
      <c r="U64" s="79">
        <f t="shared" ref="U64" si="138">+SUM(U62:U63)</f>
        <v>-14.4</v>
      </c>
      <c r="V64" s="79"/>
      <c r="W64" s="79"/>
      <c r="X64" s="132"/>
      <c r="Y64" s="80">
        <f>+SUM(Y62:Y63)</f>
        <v>-14.4</v>
      </c>
    </row>
    <row r="65" spans="1:144" s="162" customFormat="1" ht="12.75" customHeight="1" x14ac:dyDescent="0.2">
      <c r="A65" s="27"/>
      <c r="C65" s="87"/>
      <c r="D65" s="87"/>
      <c r="E65" s="87"/>
      <c r="F65" s="244"/>
      <c r="G65" s="88"/>
      <c r="H65" s="127"/>
      <c r="I65" s="87"/>
      <c r="J65" s="87"/>
      <c r="K65" s="87"/>
      <c r="L65" s="244"/>
      <c r="M65" s="88"/>
      <c r="N65" s="127"/>
      <c r="O65" s="87"/>
      <c r="P65" s="87"/>
      <c r="Q65" s="87"/>
      <c r="R65" s="244"/>
      <c r="S65" s="88"/>
      <c r="U65" s="87"/>
      <c r="V65" s="87"/>
      <c r="W65" s="87"/>
      <c r="X65" s="244"/>
      <c r="Y65" s="88"/>
    </row>
    <row r="66" spans="1:144" s="162" customFormat="1" ht="12.75" customHeight="1" x14ac:dyDescent="0.2">
      <c r="A66" s="1" t="s">
        <v>201</v>
      </c>
      <c r="B66" s="5"/>
      <c r="C66" s="1"/>
      <c r="D66" s="1"/>
      <c r="E66" s="1"/>
      <c r="F66" s="1"/>
      <c r="G66" s="36"/>
      <c r="H66" s="1"/>
      <c r="I66" s="1"/>
      <c r="J66" s="1"/>
      <c r="K66" s="1"/>
      <c r="L66" s="1"/>
      <c r="M66" s="36"/>
      <c r="N66" s="1"/>
      <c r="O66" s="1"/>
      <c r="P66" s="1"/>
      <c r="Q66" s="1"/>
      <c r="R66" s="1"/>
      <c r="S66" s="36"/>
      <c r="T66" s="1"/>
      <c r="U66" s="1"/>
      <c r="V66" s="1"/>
      <c r="W66" s="1"/>
      <c r="X66" s="1"/>
      <c r="Y66" s="36"/>
    </row>
    <row r="67" spans="1:144" s="162" customFormat="1" ht="12.75" customHeight="1" x14ac:dyDescent="0.2">
      <c r="A67" s="3" t="s">
        <v>145</v>
      </c>
      <c r="B67" s="5"/>
      <c r="C67" s="227">
        <v>-35.5</v>
      </c>
      <c r="D67" s="227">
        <v>-7.8</v>
      </c>
      <c r="E67" s="227">
        <v>16.600000000000001</v>
      </c>
      <c r="F67" s="227">
        <v>41.9</v>
      </c>
      <c r="G67" s="75">
        <f>SUM(C67:F67)</f>
        <v>15.200000000000003</v>
      </c>
      <c r="H67" s="1"/>
      <c r="I67" s="227">
        <v>-140.5</v>
      </c>
      <c r="J67" s="227">
        <v>28.9</v>
      </c>
      <c r="K67" s="227">
        <v>-44.2</v>
      </c>
      <c r="L67" s="227">
        <v>60.4</v>
      </c>
      <c r="M67" s="75">
        <f>SUM(I67:L67)</f>
        <v>-95.4</v>
      </c>
      <c r="N67" s="1"/>
      <c r="O67" s="227">
        <v>-58.2</v>
      </c>
      <c r="P67" s="227">
        <v>2.6000000000000014</v>
      </c>
      <c r="Q67" s="227">
        <v>-2.6999999999999993</v>
      </c>
      <c r="R67" s="227">
        <v>123.79999999999998</v>
      </c>
      <c r="S67" s="75">
        <f>SUM(O67:R67)</f>
        <v>65.499999999999986</v>
      </c>
      <c r="T67" s="1"/>
      <c r="U67" s="227">
        <v>-128.30000000000001</v>
      </c>
      <c r="V67" s="227"/>
      <c r="W67" s="227"/>
      <c r="X67" s="227"/>
      <c r="Y67" s="75">
        <f>SUM(U67:X67)</f>
        <v>-128.30000000000001</v>
      </c>
    </row>
    <row r="68" spans="1:144" s="162" customFormat="1" ht="12.75" customHeight="1" x14ac:dyDescent="0.2">
      <c r="A68" s="3" t="s">
        <v>144</v>
      </c>
      <c r="B68" s="5"/>
      <c r="C68" s="210">
        <v>0.5</v>
      </c>
      <c r="D68" s="210">
        <v>-4.8</v>
      </c>
      <c r="E68" s="210">
        <v>-0.5</v>
      </c>
      <c r="F68" s="210">
        <v>-3.1000000000000005</v>
      </c>
      <c r="G68" s="75">
        <f>SUM(C68:F68)</f>
        <v>-7.9</v>
      </c>
      <c r="H68" s="1"/>
      <c r="I68" s="210">
        <v>-0.9</v>
      </c>
      <c r="J68" s="210">
        <v>-5.9</v>
      </c>
      <c r="K68" s="210">
        <v>-1.6</v>
      </c>
      <c r="L68" s="210">
        <v>0.70000000000000062</v>
      </c>
      <c r="M68" s="75">
        <f>SUM(I68:L68)</f>
        <v>-7.6999999999999993</v>
      </c>
      <c r="N68" s="1"/>
      <c r="O68" s="210">
        <v>-6</v>
      </c>
      <c r="P68" s="210">
        <v>-0.40000000000000036</v>
      </c>
      <c r="Q68" s="210">
        <v>-3.6</v>
      </c>
      <c r="R68" s="210">
        <v>0.5</v>
      </c>
      <c r="S68" s="75">
        <f>SUM(O68:R68)</f>
        <v>-9.5</v>
      </c>
      <c r="T68" s="1"/>
      <c r="U68" s="210">
        <v>-7.6</v>
      </c>
      <c r="V68" s="210"/>
      <c r="W68" s="210"/>
      <c r="X68" s="210"/>
      <c r="Y68" s="75">
        <f>SUM(U68:X68)</f>
        <v>-7.6</v>
      </c>
    </row>
    <row r="69" spans="1:144" s="53" customFormat="1" ht="12.75" customHeight="1" x14ac:dyDescent="0.2">
      <c r="A69" s="48" t="s">
        <v>154</v>
      </c>
      <c r="C69" s="79">
        <f t="shared" ref="C69" si="139">+SUM(C67:C68)</f>
        <v>-35</v>
      </c>
      <c r="D69" s="79">
        <f t="shared" ref="D69" si="140">+SUM(D67:D68)</f>
        <v>-12.6</v>
      </c>
      <c r="E69" s="79">
        <f t="shared" ref="E69" si="141">+SUM(E67:E68)</f>
        <v>16.100000000000001</v>
      </c>
      <c r="F69" s="132">
        <f t="shared" ref="F69" si="142">+SUM(F67:F68)</f>
        <v>38.799999999999997</v>
      </c>
      <c r="G69" s="80">
        <f>+SUM(G67:G68)</f>
        <v>7.3000000000000025</v>
      </c>
      <c r="H69" s="82"/>
      <c r="I69" s="79">
        <f t="shared" ref="I69" si="143">+SUM(I67:I68)</f>
        <v>-141.4</v>
      </c>
      <c r="J69" s="79">
        <f t="shared" ref="J69" si="144">+SUM(J67:J68)</f>
        <v>23</v>
      </c>
      <c r="K69" s="79">
        <f t="shared" ref="K69" si="145">+SUM(K67:K68)</f>
        <v>-45.800000000000004</v>
      </c>
      <c r="L69" s="132">
        <f t="shared" ref="L69" si="146">+SUM(L67:L68)</f>
        <v>61.1</v>
      </c>
      <c r="M69" s="80">
        <f>+SUM(M67:M68)</f>
        <v>-103.10000000000001</v>
      </c>
      <c r="N69" s="82"/>
      <c r="O69" s="79">
        <f t="shared" ref="O69" si="147">+SUM(O67:O68)</f>
        <v>-64.2</v>
      </c>
      <c r="P69" s="79">
        <f t="shared" ref="P69" si="148">+SUM(P67:P68)</f>
        <v>2.2000000000000011</v>
      </c>
      <c r="Q69" s="79">
        <f t="shared" ref="Q69" si="149">+SUM(Q67:Q68)</f>
        <v>-6.2999999999999989</v>
      </c>
      <c r="R69" s="132">
        <f t="shared" ref="R69" si="150">+SUM(R67:R68)</f>
        <v>124.29999999999998</v>
      </c>
      <c r="S69" s="80">
        <f>+SUM(S67:S68)</f>
        <v>55.999999999999986</v>
      </c>
      <c r="U69" s="79">
        <f t="shared" ref="U69" si="151">+SUM(U67:U68)</f>
        <v>-135.9</v>
      </c>
      <c r="V69" s="79"/>
      <c r="W69" s="79"/>
      <c r="X69" s="132"/>
      <c r="Y69" s="80">
        <f>+SUM(Y67:Y68)</f>
        <v>-135.9</v>
      </c>
    </row>
    <row r="70" spans="1:144" s="1" customFormat="1" ht="12.75" customHeight="1" x14ac:dyDescent="0.2">
      <c r="B70" s="5"/>
      <c r="G70" s="36"/>
      <c r="M70" s="36"/>
      <c r="S70" s="36"/>
      <c r="Y70" s="36"/>
      <c r="EN70" s="4"/>
    </row>
    <row r="71" spans="1:144" s="1" customFormat="1" ht="12.75" customHeight="1" x14ac:dyDescent="0.2">
      <c r="A71" s="1" t="s">
        <v>192</v>
      </c>
      <c r="B71" s="5"/>
      <c r="G71" s="36"/>
      <c r="M71" s="36"/>
      <c r="S71" s="36"/>
      <c r="Y71" s="36"/>
      <c r="EN71" s="4"/>
    </row>
    <row r="72" spans="1:144" s="1" customFormat="1" ht="12.75" customHeight="1" x14ac:dyDescent="0.2">
      <c r="A72" s="3" t="s">
        <v>184</v>
      </c>
      <c r="C72" s="31">
        <v>-72.5</v>
      </c>
      <c r="D72" s="31">
        <v>-56.1</v>
      </c>
      <c r="E72" s="31">
        <v>-84.3</v>
      </c>
      <c r="F72" s="122">
        <v>-134.6</v>
      </c>
      <c r="G72" s="75">
        <f>+F72</f>
        <v>-134.6</v>
      </c>
      <c r="I72" s="31">
        <v>-32.799999999999997</v>
      </c>
      <c r="J72" s="31">
        <v>-65.400000000000006</v>
      </c>
      <c r="K72" s="31">
        <v>-24.5</v>
      </c>
      <c r="L72" s="122">
        <v>-108.1</v>
      </c>
      <c r="M72" s="75">
        <f>+L72</f>
        <v>-108.1</v>
      </c>
      <c r="O72" s="31">
        <v>-76.5</v>
      </c>
      <c r="P72" s="31">
        <v>-83.3</v>
      </c>
      <c r="Q72" s="31">
        <v>-65.099999999999994</v>
      </c>
      <c r="R72" s="122">
        <v>-167.1</v>
      </c>
      <c r="S72" s="75">
        <f>+R72</f>
        <v>-167.1</v>
      </c>
      <c r="U72" s="31">
        <v>-130.5</v>
      </c>
      <c r="V72" s="31"/>
      <c r="W72" s="31"/>
      <c r="X72" s="122"/>
      <c r="Y72" s="75">
        <f>+X72</f>
        <v>0</v>
      </c>
      <c r="EN72" s="4"/>
    </row>
    <row r="73" spans="1:144" ht="12.75" customHeight="1" x14ac:dyDescent="0.2">
      <c r="A73" s="2" t="s">
        <v>185</v>
      </c>
      <c r="C73" s="31">
        <v>36.5</v>
      </c>
      <c r="D73" s="31">
        <v>15.4</v>
      </c>
      <c r="E73" s="31">
        <v>31.2</v>
      </c>
      <c r="F73" s="122">
        <v>22.1</v>
      </c>
      <c r="G73" s="75">
        <f t="shared" ref="G73:G78" si="152">+F73</f>
        <v>22.1</v>
      </c>
      <c r="I73" s="31">
        <v>50.4</v>
      </c>
      <c r="J73" s="31">
        <v>54.6</v>
      </c>
      <c r="K73" s="31">
        <v>62.7</v>
      </c>
      <c r="L73" s="122">
        <v>46.4</v>
      </c>
      <c r="M73" s="75">
        <f t="shared" ref="M73:M78" si="153">+L73</f>
        <v>46.4</v>
      </c>
      <c r="O73" s="31">
        <v>70.099999999999994</v>
      </c>
      <c r="P73" s="31">
        <v>52.1</v>
      </c>
      <c r="Q73" s="31">
        <v>46.2</v>
      </c>
      <c r="R73" s="122">
        <v>17.5</v>
      </c>
      <c r="S73" s="75">
        <f t="shared" ref="S73:S78" si="154">+R73</f>
        <v>17.5</v>
      </c>
      <c r="U73" s="31">
        <v>76</v>
      </c>
      <c r="V73" s="31"/>
      <c r="W73" s="31"/>
      <c r="X73" s="122"/>
      <c r="Y73" s="75">
        <f t="shared" ref="Y73:Y78" si="155">+X73</f>
        <v>0</v>
      </c>
    </row>
    <row r="74" spans="1:144" ht="12.75" customHeight="1" x14ac:dyDescent="0.2">
      <c r="A74" s="2" t="s">
        <v>186</v>
      </c>
      <c r="C74" s="31">
        <v>9</v>
      </c>
      <c r="D74" s="31">
        <v>15.3</v>
      </c>
      <c r="E74" s="31">
        <v>8.6</v>
      </c>
      <c r="F74" s="122">
        <v>7.9</v>
      </c>
      <c r="G74" s="75">
        <f t="shared" si="152"/>
        <v>7.9</v>
      </c>
      <c r="I74" s="31">
        <v>15.2</v>
      </c>
      <c r="J74" s="31">
        <v>13</v>
      </c>
      <c r="K74" s="31">
        <v>7.9</v>
      </c>
      <c r="L74" s="122">
        <v>9.6999999999999993</v>
      </c>
      <c r="M74" s="75">
        <f t="shared" si="153"/>
        <v>9.6999999999999993</v>
      </c>
      <c r="O74" s="31">
        <v>16</v>
      </c>
      <c r="P74" s="31">
        <v>15.2</v>
      </c>
      <c r="Q74" s="31">
        <v>19.3</v>
      </c>
      <c r="R74" s="122">
        <v>10.4</v>
      </c>
      <c r="S74" s="75">
        <f t="shared" si="154"/>
        <v>10.4</v>
      </c>
      <c r="U74" s="31">
        <v>9.3000000000000007</v>
      </c>
      <c r="V74" s="31"/>
      <c r="W74" s="31"/>
      <c r="X74" s="122"/>
      <c r="Y74" s="75">
        <f t="shared" si="155"/>
        <v>0</v>
      </c>
    </row>
    <row r="75" spans="1:144" ht="12.75" customHeight="1" x14ac:dyDescent="0.2">
      <c r="A75" s="47" t="s">
        <v>193</v>
      </c>
      <c r="B75" s="47"/>
      <c r="C75" s="77">
        <v>-8.1999999999999993</v>
      </c>
      <c r="D75" s="77">
        <v>-5.2</v>
      </c>
      <c r="E75" s="77">
        <v>6.9</v>
      </c>
      <c r="F75" s="239">
        <v>-1.9</v>
      </c>
      <c r="G75" s="78">
        <f t="shared" si="152"/>
        <v>-1.9</v>
      </c>
      <c r="H75" s="31"/>
      <c r="I75" s="77">
        <v>-4.0999999999999996</v>
      </c>
      <c r="J75" s="77">
        <v>12.6</v>
      </c>
      <c r="K75" s="77">
        <v>15.1</v>
      </c>
      <c r="L75" s="239">
        <v>35.799999999999997</v>
      </c>
      <c r="M75" s="78">
        <f t="shared" si="153"/>
        <v>35.799999999999997</v>
      </c>
      <c r="N75" s="31"/>
      <c r="O75" s="77">
        <v>15.2</v>
      </c>
      <c r="P75" s="77">
        <v>20</v>
      </c>
      <c r="Q75" s="77">
        <v>-5.0999999999999996</v>
      </c>
      <c r="R75" s="239">
        <v>-7.1</v>
      </c>
      <c r="S75" s="78">
        <f t="shared" si="154"/>
        <v>-7.1</v>
      </c>
      <c r="U75" s="77">
        <v>-14.1</v>
      </c>
      <c r="V75" s="77"/>
      <c r="W75" s="77"/>
      <c r="X75" s="239"/>
      <c r="Y75" s="78">
        <f t="shared" si="155"/>
        <v>0</v>
      </c>
    </row>
    <row r="76" spans="1:144" s="53" customFormat="1" ht="12.75" customHeight="1" x14ac:dyDescent="0.2">
      <c r="A76" s="48" t="s">
        <v>145</v>
      </c>
      <c r="C76" s="79">
        <f>+SUM(C72:C75)</f>
        <v>-35.200000000000003</v>
      </c>
      <c r="D76" s="79">
        <f t="shared" ref="D76" si="156">+SUM(D72:D75)</f>
        <v>-30.6</v>
      </c>
      <c r="E76" s="79">
        <f t="shared" ref="E76" si="157">+SUM(E72:E75)</f>
        <v>-37.599999999999994</v>
      </c>
      <c r="F76" s="132">
        <f t="shared" ref="F76" si="158">+SUM(F72:F75)</f>
        <v>-106.5</v>
      </c>
      <c r="G76" s="80">
        <f t="shared" si="152"/>
        <v>-106.5</v>
      </c>
      <c r="H76" s="82"/>
      <c r="I76" s="79">
        <f>+SUM(I72:I75)</f>
        <v>28.699999999999996</v>
      </c>
      <c r="J76" s="79">
        <f t="shared" ref="J76" si="159">+SUM(J72:J75)</f>
        <v>14.799999999999995</v>
      </c>
      <c r="K76" s="79">
        <f t="shared" ref="K76" si="160">+SUM(K72:K75)</f>
        <v>61.2</v>
      </c>
      <c r="L76" s="132">
        <f t="shared" ref="L76" si="161">+SUM(L72:L75)</f>
        <v>-16.200000000000003</v>
      </c>
      <c r="M76" s="80">
        <f t="shared" si="153"/>
        <v>-16.200000000000003</v>
      </c>
      <c r="N76" s="82"/>
      <c r="O76" s="79">
        <f>+SUM(O72:O75)</f>
        <v>24.799999999999994</v>
      </c>
      <c r="P76" s="79">
        <f t="shared" ref="P76" si="162">+SUM(P72:P75)</f>
        <v>4.0000000000000036</v>
      </c>
      <c r="Q76" s="79">
        <f t="shared" ref="Q76" si="163">+SUM(Q72:Q75)</f>
        <v>-4.6999999999999904</v>
      </c>
      <c r="R76" s="132">
        <f t="shared" ref="R76" si="164">+SUM(R72:R75)</f>
        <v>-146.29999999999998</v>
      </c>
      <c r="S76" s="80">
        <f t="shared" si="154"/>
        <v>-146.29999999999998</v>
      </c>
      <c r="U76" s="79">
        <f>+SUM(U72:U75)</f>
        <v>-59.300000000000004</v>
      </c>
      <c r="V76" s="79"/>
      <c r="W76" s="79"/>
      <c r="X76" s="132"/>
      <c r="Y76" s="80">
        <f t="shared" si="155"/>
        <v>0</v>
      </c>
    </row>
    <row r="77" spans="1:144" ht="12.75" customHeight="1" x14ac:dyDescent="0.2">
      <c r="A77" s="2" t="s">
        <v>144</v>
      </c>
      <c r="C77" s="31">
        <v>12.2</v>
      </c>
      <c r="D77" s="31">
        <v>16.2</v>
      </c>
      <c r="E77" s="31">
        <v>17</v>
      </c>
      <c r="F77" s="122">
        <v>23.1</v>
      </c>
      <c r="G77" s="75">
        <f t="shared" si="152"/>
        <v>23.1</v>
      </c>
      <c r="H77" s="31"/>
      <c r="I77" s="31">
        <v>19.600000000000001</v>
      </c>
      <c r="J77" s="31">
        <v>22.5</v>
      </c>
      <c r="K77" s="31">
        <v>20.9</v>
      </c>
      <c r="L77" s="122">
        <v>24</v>
      </c>
      <c r="M77" s="75">
        <f t="shared" si="153"/>
        <v>24</v>
      </c>
      <c r="N77" s="31"/>
      <c r="O77" s="31">
        <v>26.6</v>
      </c>
      <c r="P77" s="31">
        <v>26.9</v>
      </c>
      <c r="Q77" s="31">
        <v>27.8</v>
      </c>
      <c r="R77" s="122">
        <v>28.2</v>
      </c>
      <c r="S77" s="75">
        <f t="shared" si="154"/>
        <v>28.2</v>
      </c>
      <c r="U77" s="31">
        <v>29.3</v>
      </c>
      <c r="V77" s="31"/>
      <c r="W77" s="31"/>
      <c r="X77" s="122"/>
      <c r="Y77" s="75">
        <f t="shared" si="155"/>
        <v>0</v>
      </c>
    </row>
    <row r="78" spans="1:144" ht="12.75" customHeight="1" x14ac:dyDescent="0.2">
      <c r="A78" s="2" t="s">
        <v>193</v>
      </c>
      <c r="C78" s="31">
        <v>0</v>
      </c>
      <c r="D78" s="31">
        <v>0</v>
      </c>
      <c r="E78" s="31">
        <v>0</v>
      </c>
      <c r="F78" s="122">
        <v>-0.1</v>
      </c>
      <c r="G78" s="75">
        <f t="shared" si="152"/>
        <v>-0.1</v>
      </c>
      <c r="H78" s="31"/>
      <c r="I78" s="31">
        <v>0</v>
      </c>
      <c r="J78" s="31">
        <v>0</v>
      </c>
      <c r="K78" s="31">
        <v>0</v>
      </c>
      <c r="L78" s="122">
        <v>-0.1</v>
      </c>
      <c r="M78" s="75">
        <f t="shared" si="153"/>
        <v>-0.1</v>
      </c>
      <c r="N78" s="31"/>
      <c r="O78" s="31">
        <v>0</v>
      </c>
      <c r="P78" s="31">
        <v>0</v>
      </c>
      <c r="Q78" s="31">
        <v>0</v>
      </c>
      <c r="R78" s="122">
        <v>0</v>
      </c>
      <c r="S78" s="75">
        <f t="shared" si="154"/>
        <v>0</v>
      </c>
      <c r="U78" s="31">
        <v>0</v>
      </c>
      <c r="V78" s="31"/>
      <c r="W78" s="31"/>
      <c r="X78" s="122"/>
      <c r="Y78" s="75">
        <f t="shared" si="155"/>
        <v>0</v>
      </c>
    </row>
    <row r="79" spans="1:144" s="53" customFormat="1" ht="12.75" customHeight="1" x14ac:dyDescent="0.2">
      <c r="A79" s="48" t="s">
        <v>154</v>
      </c>
      <c r="C79" s="79">
        <f>+SUM(C76:C78)</f>
        <v>-23.000000000000004</v>
      </c>
      <c r="D79" s="79">
        <f t="shared" ref="D79:Y79" si="165">+SUM(D76:D78)</f>
        <v>-14.400000000000002</v>
      </c>
      <c r="E79" s="79">
        <f t="shared" si="165"/>
        <v>-20.599999999999994</v>
      </c>
      <c r="F79" s="132">
        <f t="shared" si="165"/>
        <v>-83.5</v>
      </c>
      <c r="G79" s="80">
        <f t="shared" si="165"/>
        <v>-83.5</v>
      </c>
      <c r="H79" s="82"/>
      <c r="I79" s="79">
        <f t="shared" si="165"/>
        <v>48.3</v>
      </c>
      <c r="J79" s="79">
        <f t="shared" si="165"/>
        <v>37.299999999999997</v>
      </c>
      <c r="K79" s="79">
        <f t="shared" si="165"/>
        <v>82.1</v>
      </c>
      <c r="L79" s="132">
        <f t="shared" si="165"/>
        <v>7.6999999999999975</v>
      </c>
      <c r="M79" s="80">
        <f t="shared" si="165"/>
        <v>7.6999999999999975</v>
      </c>
      <c r="N79" s="82"/>
      <c r="O79" s="79">
        <f t="shared" si="165"/>
        <v>51.399999999999991</v>
      </c>
      <c r="P79" s="79">
        <f t="shared" si="165"/>
        <v>30.900000000000002</v>
      </c>
      <c r="Q79" s="79">
        <f t="shared" si="165"/>
        <v>23.100000000000009</v>
      </c>
      <c r="R79" s="132">
        <f t="shared" si="165"/>
        <v>-118.09999999999998</v>
      </c>
      <c r="S79" s="80">
        <f t="shared" si="165"/>
        <v>-118.09999999999998</v>
      </c>
      <c r="U79" s="79">
        <f t="shared" si="165"/>
        <v>-30.000000000000004</v>
      </c>
      <c r="V79" s="79"/>
      <c r="W79" s="79"/>
      <c r="X79" s="132"/>
      <c r="Y79" s="80">
        <f t="shared" si="165"/>
        <v>0</v>
      </c>
    </row>
    <row r="80" spans="1:144" ht="12.75" customHeight="1" x14ac:dyDescent="0.2">
      <c r="C80" s="31"/>
      <c r="D80" s="31"/>
      <c r="E80" s="31"/>
      <c r="F80" s="122"/>
      <c r="G80" s="75"/>
      <c r="H80" s="31"/>
      <c r="I80" s="31"/>
      <c r="J80" s="31"/>
      <c r="K80" s="31"/>
      <c r="L80" s="122"/>
      <c r="M80" s="75"/>
      <c r="N80" s="31"/>
      <c r="O80" s="31"/>
      <c r="P80" s="31"/>
      <c r="Q80" s="31"/>
      <c r="R80" s="122"/>
      <c r="S80" s="75"/>
      <c r="U80" s="31"/>
      <c r="V80" s="31"/>
      <c r="W80" s="31"/>
      <c r="X80" s="122"/>
      <c r="Y80" s="75"/>
    </row>
    <row r="81" spans="1:28" ht="12.75" customHeight="1" x14ac:dyDescent="0.2">
      <c r="A81" s="1" t="s">
        <v>198</v>
      </c>
      <c r="B81" s="5"/>
      <c r="C81" s="1"/>
      <c r="D81" s="1"/>
      <c r="E81" s="1"/>
      <c r="F81" s="1"/>
      <c r="G81" s="36"/>
      <c r="H81" s="1"/>
      <c r="I81" s="1"/>
      <c r="J81" s="1"/>
      <c r="K81" s="1"/>
      <c r="L81" s="1"/>
      <c r="M81" s="36"/>
      <c r="N81" s="1"/>
      <c r="O81" s="1"/>
      <c r="P81" s="1"/>
      <c r="Q81" s="1"/>
      <c r="R81" s="1"/>
      <c r="S81" s="36"/>
      <c r="T81" s="1"/>
      <c r="U81" s="1"/>
      <c r="V81" s="1"/>
      <c r="W81" s="1"/>
      <c r="X81" s="1"/>
      <c r="Y81" s="36"/>
    </row>
    <row r="82" spans="1:28" ht="12.75" customHeight="1" x14ac:dyDescent="0.2">
      <c r="A82" s="3" t="s">
        <v>184</v>
      </c>
      <c r="B82" s="1"/>
      <c r="C82" s="260"/>
      <c r="D82" s="260"/>
      <c r="E82" s="260"/>
      <c r="F82" s="261"/>
      <c r="G82" s="262"/>
      <c r="H82" s="1"/>
      <c r="I82" s="10">
        <v>0.06</v>
      </c>
      <c r="J82" s="10">
        <v>0.12</v>
      </c>
      <c r="K82" s="10">
        <v>0</v>
      </c>
      <c r="L82" s="261"/>
      <c r="M82" s="38">
        <v>-0.04</v>
      </c>
      <c r="N82" s="1"/>
      <c r="O82" s="10">
        <v>-0.28999999999999998</v>
      </c>
      <c r="P82" s="10">
        <v>-0.28999999999999998</v>
      </c>
      <c r="Q82" s="10">
        <v>-0.32</v>
      </c>
      <c r="R82" s="11">
        <v>0.35</v>
      </c>
      <c r="S82" s="38">
        <v>-0.18</v>
      </c>
      <c r="T82" s="1"/>
      <c r="U82" s="10">
        <v>0.37</v>
      </c>
      <c r="V82" s="31"/>
      <c r="W82" s="31"/>
      <c r="X82" s="122"/>
      <c r="Y82" s="75"/>
    </row>
    <row r="83" spans="1:28" ht="12.75" customHeight="1" x14ac:dyDescent="0.2">
      <c r="A83" s="2" t="s">
        <v>185</v>
      </c>
      <c r="C83" s="260"/>
      <c r="D83" s="260"/>
      <c r="E83" s="260"/>
      <c r="F83" s="261"/>
      <c r="G83" s="262"/>
      <c r="I83" s="10">
        <v>0.04</v>
      </c>
      <c r="J83" s="10">
        <v>0.11</v>
      </c>
      <c r="K83" s="10">
        <v>-0.02</v>
      </c>
      <c r="L83" s="261"/>
      <c r="M83" s="38">
        <v>0.05</v>
      </c>
      <c r="O83" s="10">
        <v>0.03</v>
      </c>
      <c r="P83" s="10">
        <v>-0.08</v>
      </c>
      <c r="Q83" s="10">
        <v>0.03</v>
      </c>
      <c r="R83" s="11">
        <v>-0.04</v>
      </c>
      <c r="S83" s="38">
        <v>-0.02</v>
      </c>
      <c r="U83" s="10">
        <v>0.03</v>
      </c>
      <c r="V83" s="31"/>
      <c r="W83" s="31"/>
      <c r="X83" s="122"/>
      <c r="Y83" s="75"/>
    </row>
    <row r="84" spans="1:28" ht="12.75" customHeight="1" x14ac:dyDescent="0.2">
      <c r="A84" s="2" t="s">
        <v>186</v>
      </c>
      <c r="C84" s="260"/>
      <c r="D84" s="260"/>
      <c r="E84" s="260"/>
      <c r="F84" s="261"/>
      <c r="G84" s="262"/>
      <c r="I84" s="10">
        <v>0.26</v>
      </c>
      <c r="J84" s="10">
        <v>0.19</v>
      </c>
      <c r="K84" s="10">
        <v>-0.01</v>
      </c>
      <c r="L84" s="261"/>
      <c r="M84" s="38">
        <v>0.09</v>
      </c>
      <c r="O84" s="10">
        <v>-0.18</v>
      </c>
      <c r="P84" s="10">
        <v>0.09</v>
      </c>
      <c r="Q84" s="10">
        <v>0.19</v>
      </c>
      <c r="R84" s="11">
        <v>0.17</v>
      </c>
      <c r="S84" s="38">
        <v>0.05</v>
      </c>
      <c r="U84" s="10">
        <v>0.1</v>
      </c>
      <c r="V84" s="31"/>
      <c r="W84" s="31"/>
      <c r="X84" s="122"/>
      <c r="Y84" s="75"/>
    </row>
    <row r="85" spans="1:28" s="53" customFormat="1" ht="12.75" customHeight="1" x14ac:dyDescent="0.2">
      <c r="A85" s="48" t="s">
        <v>145</v>
      </c>
      <c r="C85" s="254">
        <v>-0.08</v>
      </c>
      <c r="D85" s="254">
        <v>0.08</v>
      </c>
      <c r="E85" s="254">
        <v>0.24</v>
      </c>
      <c r="F85" s="255">
        <v>-0.01</v>
      </c>
      <c r="G85" s="256">
        <v>7.0000000000000007E-2</v>
      </c>
      <c r="H85" s="82"/>
      <c r="I85" s="254">
        <v>7.0000000000000007E-2</v>
      </c>
      <c r="J85" s="254">
        <v>0.12</v>
      </c>
      <c r="K85" s="254">
        <v>-0.01</v>
      </c>
      <c r="L85" s="255">
        <v>-0.16</v>
      </c>
      <c r="M85" s="256">
        <v>0</v>
      </c>
      <c r="N85" s="82"/>
      <c r="O85" s="254">
        <v>-0.16</v>
      </c>
      <c r="P85" s="254">
        <v>-0.17</v>
      </c>
      <c r="Q85" s="254">
        <v>-0.16</v>
      </c>
      <c r="R85" s="255">
        <v>0.16</v>
      </c>
      <c r="S85" s="256">
        <v>-0.1</v>
      </c>
      <c r="U85" s="254">
        <v>0.19</v>
      </c>
      <c r="V85" s="79"/>
      <c r="W85" s="79"/>
      <c r="X85" s="132"/>
      <c r="Y85" s="80"/>
    </row>
    <row r="86" spans="1:28" s="236" customFormat="1" ht="12.75" customHeight="1" x14ac:dyDescent="0.2">
      <c r="A86" s="26" t="s">
        <v>144</v>
      </c>
      <c r="C86" s="257">
        <v>-0.18</v>
      </c>
      <c r="D86" s="257">
        <v>0.26</v>
      </c>
      <c r="E86" s="257">
        <v>0</v>
      </c>
      <c r="F86" s="258">
        <v>0.13</v>
      </c>
      <c r="G86" s="259">
        <v>7.0000000000000007E-2</v>
      </c>
      <c r="H86" s="237"/>
      <c r="I86" s="257">
        <v>0.18</v>
      </c>
      <c r="J86" s="257">
        <v>0.25</v>
      </c>
      <c r="K86" s="257">
        <v>0.21</v>
      </c>
      <c r="L86" s="258">
        <v>7.0000000000000007E-2</v>
      </c>
      <c r="M86" s="259">
        <v>0.16</v>
      </c>
      <c r="N86" s="237"/>
      <c r="O86" s="257">
        <v>0.17</v>
      </c>
      <c r="P86" s="257">
        <v>0.01</v>
      </c>
      <c r="Q86" s="257">
        <v>7.3999999999999996E-2</v>
      </c>
      <c r="R86" s="258">
        <v>0.15</v>
      </c>
      <c r="S86" s="259">
        <v>0.1</v>
      </c>
      <c r="U86" s="257">
        <v>-0.13</v>
      </c>
      <c r="V86" s="245"/>
      <c r="W86" s="245"/>
      <c r="X86" s="246"/>
      <c r="Y86" s="238"/>
    </row>
    <row r="87" spans="1:28" ht="12.75" customHeight="1" x14ac:dyDescent="0.2">
      <c r="C87" s="31"/>
      <c r="D87" s="31"/>
      <c r="E87" s="31"/>
      <c r="F87" s="122"/>
      <c r="G87" s="75"/>
      <c r="H87" s="31"/>
      <c r="I87" s="31"/>
      <c r="J87" s="31"/>
      <c r="K87" s="31"/>
      <c r="L87" s="122"/>
      <c r="M87" s="75"/>
      <c r="N87" s="31"/>
      <c r="O87" s="31"/>
      <c r="P87" s="31"/>
      <c r="Q87" s="31"/>
      <c r="R87" s="122"/>
      <c r="S87" s="75"/>
      <c r="U87" s="31"/>
      <c r="V87" s="31"/>
      <c r="W87" s="31"/>
      <c r="X87" s="122"/>
      <c r="Y87" s="75"/>
    </row>
    <row r="88" spans="1:28" s="162" customFormat="1" ht="12.75" customHeight="1" x14ac:dyDescent="0.2">
      <c r="A88" s="27" t="s">
        <v>31</v>
      </c>
      <c r="C88" s="127"/>
      <c r="D88" s="138"/>
      <c r="E88" s="138"/>
      <c r="F88" s="127"/>
      <c r="G88" s="139"/>
      <c r="H88" s="127"/>
      <c r="I88" s="127"/>
      <c r="J88" s="138"/>
      <c r="K88" s="138"/>
      <c r="L88" s="127"/>
      <c r="M88" s="139"/>
      <c r="N88" s="127"/>
      <c r="O88" s="127"/>
      <c r="P88" s="138"/>
      <c r="Q88" s="138"/>
      <c r="R88" s="127"/>
      <c r="S88" s="139"/>
      <c r="U88" s="127"/>
      <c r="V88" s="138"/>
      <c r="W88" s="138"/>
      <c r="X88" s="127"/>
      <c r="Y88" s="139"/>
    </row>
    <row r="89" spans="1:28" s="162" customFormat="1" ht="12.75" customHeight="1" x14ac:dyDescent="0.2">
      <c r="A89" s="3" t="s">
        <v>145</v>
      </c>
      <c r="B89" s="5"/>
      <c r="C89" s="227">
        <v>1006.7</v>
      </c>
      <c r="D89" s="227">
        <v>1139.4000000000001</v>
      </c>
      <c r="E89" s="227">
        <v>1120.7</v>
      </c>
      <c r="F89" s="227">
        <v>1040.5</v>
      </c>
      <c r="G89" s="75">
        <f>+F89</f>
        <v>1040.5</v>
      </c>
      <c r="H89" s="210"/>
      <c r="I89" s="227">
        <v>1140.5</v>
      </c>
      <c r="J89" s="227">
        <v>1104.3</v>
      </c>
      <c r="K89" s="227">
        <v>1158.3</v>
      </c>
      <c r="L89" s="227">
        <v>1065.3</v>
      </c>
      <c r="M89" s="75">
        <f>+L89</f>
        <v>1065.3</v>
      </c>
      <c r="N89" s="210"/>
      <c r="O89" s="227">
        <v>1113.5</v>
      </c>
      <c r="P89" s="227">
        <v>1083.5</v>
      </c>
      <c r="Q89" s="227">
        <v>1054.5</v>
      </c>
      <c r="R89" s="227">
        <v>941.6</v>
      </c>
      <c r="S89" s="75">
        <f>+R89</f>
        <v>941.6</v>
      </c>
      <c r="T89" s="210"/>
      <c r="U89" s="227">
        <v>993.7</v>
      </c>
      <c r="V89" s="227"/>
      <c r="W89" s="227"/>
      <c r="X89" s="227"/>
      <c r="Y89" s="75"/>
    </row>
    <row r="90" spans="1:28" ht="12.75" customHeight="1" x14ac:dyDescent="0.2">
      <c r="A90" s="3" t="s">
        <v>144</v>
      </c>
      <c r="B90" s="5"/>
      <c r="C90" s="203">
        <v>46.3</v>
      </c>
      <c r="D90" s="203">
        <v>49.8</v>
      </c>
      <c r="E90" s="203">
        <v>62.6</v>
      </c>
      <c r="F90" s="203">
        <v>69</v>
      </c>
      <c r="G90" s="75">
        <f>+F90</f>
        <v>69</v>
      </c>
      <c r="H90" s="200"/>
      <c r="I90" s="203">
        <v>67.099999999999994</v>
      </c>
      <c r="J90" s="203">
        <v>72.400000000000006</v>
      </c>
      <c r="K90" s="203">
        <v>73.7</v>
      </c>
      <c r="L90" s="203">
        <v>78.599999999999994</v>
      </c>
      <c r="M90" s="75">
        <f>+L90</f>
        <v>78.599999999999994</v>
      </c>
      <c r="N90" s="200"/>
      <c r="O90" s="203">
        <v>93.7</v>
      </c>
      <c r="P90" s="203">
        <v>96.7</v>
      </c>
      <c r="Q90" s="203">
        <v>101.7</v>
      </c>
      <c r="R90" s="203">
        <v>104.4</v>
      </c>
      <c r="S90" s="75">
        <f>+R90</f>
        <v>104.4</v>
      </c>
      <c r="T90" s="200"/>
      <c r="U90" s="203">
        <v>108.3</v>
      </c>
      <c r="V90" s="203"/>
      <c r="W90" s="203"/>
      <c r="X90" s="203"/>
      <c r="Y90" s="75"/>
    </row>
    <row r="91" spans="1:28" s="53" customFormat="1" ht="12.75" customHeight="1" x14ac:dyDescent="0.2">
      <c r="A91" s="48" t="s">
        <v>154</v>
      </c>
      <c r="C91" s="79">
        <f t="shared" ref="C91" si="166">+SUM(C89:C90)</f>
        <v>1053</v>
      </c>
      <c r="D91" s="79">
        <f t="shared" ref="D91" si="167">+SUM(D89:D90)</f>
        <v>1189.2</v>
      </c>
      <c r="E91" s="79">
        <f t="shared" ref="E91" si="168">+SUM(E89:E90)</f>
        <v>1183.3</v>
      </c>
      <c r="F91" s="132">
        <f t="shared" ref="F91" si="169">+SUM(F89:F90)</f>
        <v>1109.5</v>
      </c>
      <c r="G91" s="80">
        <f>+SUM(G89:G90)</f>
        <v>1109.5</v>
      </c>
      <c r="H91" s="82"/>
      <c r="I91" s="79">
        <f t="shared" ref="I91" si="170">+SUM(I89:I90)</f>
        <v>1207.5999999999999</v>
      </c>
      <c r="J91" s="79">
        <f t="shared" ref="J91" si="171">+SUM(J89:J90)</f>
        <v>1176.7</v>
      </c>
      <c r="K91" s="79">
        <f t="shared" ref="K91" si="172">+SUM(K89:K90)</f>
        <v>1232</v>
      </c>
      <c r="L91" s="132">
        <f t="shared" ref="L91" si="173">+SUM(L89:L90)</f>
        <v>1143.8999999999999</v>
      </c>
      <c r="M91" s="80">
        <f>+SUM(M89:M90)</f>
        <v>1143.8999999999999</v>
      </c>
      <c r="N91" s="82"/>
      <c r="O91" s="79">
        <f t="shared" ref="O91" si="174">+SUM(O89:O90)</f>
        <v>1207.2</v>
      </c>
      <c r="P91" s="79">
        <f t="shared" ref="P91" si="175">+SUM(P89:P90)</f>
        <v>1180.2</v>
      </c>
      <c r="Q91" s="79">
        <f t="shared" ref="Q91" si="176">+SUM(Q89:Q90)</f>
        <v>1156.2</v>
      </c>
      <c r="R91" s="132">
        <f t="shared" ref="R91" si="177">+SUM(R89:R90)</f>
        <v>1046</v>
      </c>
      <c r="S91" s="80">
        <f>+SUM(S89:S90)</f>
        <v>1046</v>
      </c>
      <c r="U91" s="79">
        <f t="shared" ref="U91" si="178">+SUM(U89:U90)</f>
        <v>1102</v>
      </c>
      <c r="V91" s="79"/>
      <c r="W91" s="79"/>
      <c r="X91" s="132"/>
      <c r="Y91" s="80"/>
    </row>
    <row r="92" spans="1:28" s="162" customFormat="1" ht="12.75" customHeight="1" x14ac:dyDescent="0.2">
      <c r="A92" s="4"/>
      <c r="B92" s="27"/>
      <c r="C92" s="4"/>
      <c r="D92" s="4"/>
      <c r="E92" s="4"/>
      <c r="F92" s="4"/>
      <c r="G92" s="174"/>
      <c r="H92" s="127"/>
      <c r="I92" s="4"/>
      <c r="J92" s="4"/>
      <c r="K92" s="4"/>
      <c r="L92" s="4"/>
      <c r="M92" s="174"/>
      <c r="N92" s="127"/>
      <c r="O92" s="4"/>
      <c r="P92" s="4"/>
      <c r="Q92" s="4"/>
      <c r="R92" s="4"/>
      <c r="S92" s="174"/>
      <c r="U92" s="4"/>
      <c r="V92" s="4"/>
      <c r="W92" s="4"/>
      <c r="X92" s="4"/>
      <c r="Y92" s="174"/>
    </row>
    <row r="93" spans="1:28" s="162" customFormat="1" ht="12.75" customHeight="1" x14ac:dyDescent="0.2">
      <c r="A93" s="27" t="s">
        <v>194</v>
      </c>
      <c r="B93" s="27"/>
      <c r="C93" s="29"/>
      <c r="D93" s="29"/>
      <c r="E93" s="29"/>
      <c r="F93" s="29"/>
      <c r="G93" s="64"/>
      <c r="H93" s="27"/>
      <c r="I93" s="29"/>
      <c r="J93" s="29"/>
      <c r="K93" s="29"/>
      <c r="L93" s="29"/>
      <c r="M93" s="64"/>
      <c r="N93" s="27"/>
      <c r="O93" s="29"/>
      <c r="P93" s="29"/>
      <c r="Q93" s="29"/>
      <c r="R93" s="29"/>
      <c r="S93" s="64"/>
      <c r="T93" s="27"/>
      <c r="U93" s="29"/>
      <c r="V93" s="29"/>
      <c r="W93" s="29"/>
      <c r="X93" s="29"/>
      <c r="Y93" s="64"/>
      <c r="Z93" s="27"/>
      <c r="AA93" s="27"/>
    </row>
    <row r="94" spans="1:28" s="162" customFormat="1" ht="12.75" customHeight="1" x14ac:dyDescent="0.2">
      <c r="A94" s="3" t="s">
        <v>145</v>
      </c>
      <c r="B94" s="5"/>
      <c r="C94" s="241">
        <v>9.5000000000000001E-2</v>
      </c>
      <c r="D94" s="241">
        <v>9.1999999999999998E-2</v>
      </c>
      <c r="E94" s="241">
        <v>8.6999999999999994E-2</v>
      </c>
      <c r="F94" s="241">
        <v>7.4999999999999997E-2</v>
      </c>
      <c r="G94" s="64">
        <v>7.4999999999999997E-2</v>
      </c>
      <c r="H94" s="5"/>
      <c r="I94" s="241">
        <v>5.2999999999999999E-2</v>
      </c>
      <c r="J94" s="241">
        <v>4.1000000000000002E-2</v>
      </c>
      <c r="K94" s="241">
        <v>2.9000000000000001E-2</v>
      </c>
      <c r="L94" s="241">
        <v>-8.0000000000000002E-3</v>
      </c>
      <c r="M94" s="64">
        <v>-8.0000000000000002E-3</v>
      </c>
      <c r="N94" s="5"/>
      <c r="O94" s="241">
        <v>-2.9000000000000001E-2</v>
      </c>
      <c r="P94" s="241">
        <v>-5.0999999999999997E-2</v>
      </c>
      <c r="Q94" s="241">
        <v>-7.0999999999999994E-2</v>
      </c>
      <c r="R94" s="241">
        <v>-7.1999999999999995E-2</v>
      </c>
      <c r="S94" s="64">
        <v>-7.1999999999999995E-2</v>
      </c>
      <c r="T94" s="5"/>
      <c r="U94" s="241">
        <v>-6.0999999999999999E-2</v>
      </c>
      <c r="V94" s="241"/>
      <c r="W94" s="241"/>
      <c r="X94" s="241"/>
      <c r="Y94" s="64"/>
      <c r="Z94" s="5"/>
      <c r="AA94" s="5"/>
    </row>
    <row r="95" spans="1:28" s="162" customFormat="1" ht="12.75" customHeight="1" x14ac:dyDescent="0.2">
      <c r="A95" s="163" t="s">
        <v>144</v>
      </c>
      <c r="B95" s="27"/>
      <c r="C95" s="263" t="s">
        <v>137</v>
      </c>
      <c r="D95" s="263" t="s">
        <v>137</v>
      </c>
      <c r="E95" s="263" t="s">
        <v>137</v>
      </c>
      <c r="F95" s="241">
        <v>-3.1E-2</v>
      </c>
      <c r="G95" s="64">
        <v>-3.1E-2</v>
      </c>
      <c r="H95" s="5"/>
      <c r="I95" s="263" t="s">
        <v>137</v>
      </c>
      <c r="J95" s="263" t="s">
        <v>137</v>
      </c>
      <c r="K95" s="263" t="s">
        <v>137</v>
      </c>
      <c r="L95" s="241">
        <v>1.6E-2</v>
      </c>
      <c r="M95" s="64">
        <v>1.6E-2</v>
      </c>
      <c r="N95" s="5"/>
      <c r="O95" s="241">
        <v>2.1999999999999999E-2</v>
      </c>
      <c r="P95" s="241">
        <v>5.0999999999999997E-2</v>
      </c>
      <c r="Q95" s="241">
        <v>6.8000000000000005E-2</v>
      </c>
      <c r="R95" s="241">
        <v>4.9000000000000002E-2</v>
      </c>
      <c r="S95" s="64">
        <v>4.9000000000000002E-2</v>
      </c>
      <c r="T95" s="5"/>
      <c r="U95" s="241">
        <v>0.03</v>
      </c>
      <c r="V95" s="241"/>
      <c r="W95" s="241"/>
      <c r="X95" s="241"/>
      <c r="Y95" s="64"/>
      <c r="Z95" s="5"/>
      <c r="AA95" s="5"/>
    </row>
    <row r="96" spans="1:28" s="45" customFormat="1" ht="12.75" customHeight="1" x14ac:dyDescent="0.2">
      <c r="A96" s="42" t="s">
        <v>154</v>
      </c>
      <c r="C96" s="247">
        <v>0.121</v>
      </c>
      <c r="D96" s="247">
        <v>0.128</v>
      </c>
      <c r="E96" s="247">
        <v>0.14000000000000001</v>
      </c>
      <c r="F96" s="247">
        <v>0.11799999999999999</v>
      </c>
      <c r="G96" s="248">
        <v>0.11799999999999999</v>
      </c>
      <c r="H96" s="42"/>
      <c r="I96" s="247">
        <v>7.8E-2</v>
      </c>
      <c r="J96" s="247">
        <v>4.8000000000000001E-2</v>
      </c>
      <c r="K96" s="247">
        <v>2.5000000000000001E-2</v>
      </c>
      <c r="L96" s="247">
        <v>-7.0000000000000001E-3</v>
      </c>
      <c r="M96" s="248">
        <v>-7.0000000000000001E-3</v>
      </c>
      <c r="N96" s="42"/>
      <c r="O96" s="247">
        <v>-2.5999999999999999E-2</v>
      </c>
      <c r="P96" s="247">
        <v>-4.3999999999999997E-2</v>
      </c>
      <c r="Q96" s="247">
        <v>-0.06</v>
      </c>
      <c r="R96" s="247">
        <v>-6.2E-2</v>
      </c>
      <c r="S96" s="248">
        <v>-6.2E-2</v>
      </c>
      <c r="T96" s="42"/>
      <c r="U96" s="247">
        <v>-5.2999999999999999E-2</v>
      </c>
      <c r="V96" s="247"/>
      <c r="W96" s="247"/>
      <c r="X96" s="247"/>
      <c r="Y96" s="248"/>
      <c r="Z96" s="42"/>
      <c r="AA96" s="42"/>
      <c r="AB96" s="42"/>
    </row>
    <row r="97" spans="1:144" s="162" customFormat="1" ht="12.75" customHeight="1" x14ac:dyDescent="0.2">
      <c r="A97" s="4"/>
      <c r="B97" s="27"/>
      <c r="C97" s="4"/>
      <c r="D97" s="4"/>
      <c r="E97" s="4"/>
      <c r="F97" s="4"/>
      <c r="G97" s="174"/>
      <c r="H97" s="127"/>
      <c r="I97" s="4"/>
      <c r="J97" s="4"/>
      <c r="K97" s="4"/>
      <c r="L97" s="4"/>
      <c r="M97" s="174"/>
      <c r="N97" s="127"/>
      <c r="O97" s="4"/>
      <c r="P97" s="4"/>
      <c r="Q97" s="4"/>
      <c r="R97" s="4"/>
      <c r="S97" s="174"/>
      <c r="U97" s="4"/>
      <c r="V97" s="4"/>
      <c r="W97" s="4"/>
      <c r="X97" s="4"/>
      <c r="Y97" s="174"/>
    </row>
    <row r="98" spans="1:144" s="27" customFormat="1" ht="12.75" customHeight="1" x14ac:dyDescent="0.2">
      <c r="A98" s="27" t="s">
        <v>199</v>
      </c>
      <c r="C98" s="29"/>
      <c r="D98" s="29"/>
      <c r="E98" s="29"/>
      <c r="F98" s="29"/>
      <c r="G98" s="64"/>
      <c r="I98" s="29"/>
      <c r="J98" s="29"/>
      <c r="K98" s="29"/>
      <c r="L98" s="29"/>
      <c r="M98" s="64"/>
      <c r="O98" s="29"/>
      <c r="P98" s="29"/>
      <c r="Q98" s="29"/>
      <c r="R98" s="29"/>
      <c r="S98" s="64"/>
      <c r="U98" s="29"/>
      <c r="V98" s="29"/>
      <c r="W98" s="29"/>
      <c r="X98" s="29"/>
      <c r="Y98" s="64"/>
    </row>
    <row r="99" spans="1:144" s="5" customFormat="1" ht="12.75" customHeight="1" x14ac:dyDescent="0.2">
      <c r="A99" s="3" t="s">
        <v>145</v>
      </c>
      <c r="C99" s="264">
        <v>3703</v>
      </c>
      <c r="D99" s="264">
        <v>3358</v>
      </c>
      <c r="E99" s="264">
        <v>3389</v>
      </c>
      <c r="F99" s="264">
        <v>3393</v>
      </c>
      <c r="G99" s="265">
        <v>3393</v>
      </c>
      <c r="H99" s="266"/>
      <c r="I99" s="264">
        <v>3393</v>
      </c>
      <c r="J99" s="264">
        <v>3452</v>
      </c>
      <c r="K99" s="264">
        <v>3424</v>
      </c>
      <c r="L99" s="264">
        <v>3419</v>
      </c>
      <c r="M99" s="265">
        <v>3419</v>
      </c>
      <c r="N99" s="266"/>
      <c r="O99" s="264">
        <v>3342</v>
      </c>
      <c r="P99" s="264">
        <v>3275</v>
      </c>
      <c r="Q99" s="264">
        <v>3271</v>
      </c>
      <c r="R99" s="264">
        <v>3303</v>
      </c>
      <c r="S99" s="265">
        <v>3303</v>
      </c>
      <c r="T99" s="266"/>
      <c r="U99" s="264">
        <v>3351</v>
      </c>
      <c r="V99" s="264"/>
      <c r="W99" s="264"/>
      <c r="X99" s="264"/>
      <c r="Y99" s="265"/>
      <c r="EN99" s="27"/>
    </row>
    <row r="100" spans="1:144" s="42" customFormat="1" ht="12.75" customHeight="1" x14ac:dyDescent="0.2">
      <c r="A100" s="46" t="s">
        <v>144</v>
      </c>
      <c r="C100" s="268">
        <v>254</v>
      </c>
      <c r="D100" s="268">
        <v>263</v>
      </c>
      <c r="E100" s="268">
        <v>310</v>
      </c>
      <c r="F100" s="268">
        <v>302</v>
      </c>
      <c r="G100" s="269">
        <v>302</v>
      </c>
      <c r="H100" s="270"/>
      <c r="I100" s="268">
        <v>296</v>
      </c>
      <c r="J100" s="268">
        <v>322</v>
      </c>
      <c r="K100" s="268">
        <v>348</v>
      </c>
      <c r="L100" s="268">
        <v>349</v>
      </c>
      <c r="M100" s="269">
        <v>349</v>
      </c>
      <c r="N100" s="270"/>
      <c r="O100" s="268">
        <v>356</v>
      </c>
      <c r="P100" s="268">
        <v>367</v>
      </c>
      <c r="Q100" s="268">
        <v>380</v>
      </c>
      <c r="R100" s="268">
        <v>403</v>
      </c>
      <c r="S100" s="269">
        <v>403</v>
      </c>
      <c r="T100" s="270"/>
      <c r="U100" s="268">
        <v>411</v>
      </c>
      <c r="V100" s="268"/>
      <c r="W100" s="268"/>
      <c r="X100" s="268"/>
      <c r="Y100" s="269"/>
    </row>
    <row r="101" spans="1:144" s="27" customFormat="1" ht="12.75" customHeight="1" x14ac:dyDescent="0.2"/>
    <row r="102" spans="1:144" ht="12.75" customHeight="1" x14ac:dyDescent="0.2">
      <c r="A102" s="242" t="s">
        <v>196</v>
      </c>
      <c r="C102" s="147"/>
      <c r="I102" s="147"/>
      <c r="O102" s="147"/>
      <c r="U102" s="147"/>
    </row>
    <row r="103" spans="1:144" ht="12.75" customHeight="1" x14ac:dyDescent="0.2">
      <c r="A103" s="148" t="s">
        <v>195</v>
      </c>
      <c r="C103" s="154"/>
      <c r="D103" s="7"/>
      <c r="I103" s="154"/>
      <c r="J103" s="7"/>
      <c r="L103" s="85"/>
      <c r="O103" s="154"/>
      <c r="P103" s="7"/>
      <c r="R103" s="85"/>
      <c r="U103" s="154"/>
      <c r="V103" s="7"/>
      <c r="X103" s="85"/>
    </row>
    <row r="104" spans="1:144" ht="12.75" customHeight="1" x14ac:dyDescent="0.2">
      <c r="C104" s="7"/>
      <c r="G104" s="145"/>
      <c r="I104" s="7"/>
      <c r="L104" s="85"/>
      <c r="M104" s="145"/>
      <c r="O104" s="7"/>
      <c r="R104" s="85"/>
      <c r="S104" s="145"/>
      <c r="U104" s="7"/>
      <c r="X104" s="85"/>
      <c r="Y104" s="145"/>
    </row>
  </sheetData>
  <mergeCells count="7">
    <mergeCell ref="I2:M2"/>
    <mergeCell ref="O2:S2"/>
    <mergeCell ref="U2:Y2"/>
    <mergeCell ref="C2:G2"/>
    <mergeCell ref="C1:G1"/>
    <mergeCell ref="I1:M1"/>
    <mergeCell ref="O1:S1"/>
  </mergeCells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M86"/>
  <sheetViews>
    <sheetView showGridLines="0" zoomScale="80" zoomScaleNormal="80" workbookViewId="0">
      <pane xSplit="2" ySplit="3" topLeftCell="C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4" sqref="C4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276"/>
      <c r="D1" s="276"/>
      <c r="E1" s="276"/>
      <c r="F1" s="276"/>
      <c r="G1" s="276"/>
      <c r="I1" s="276"/>
      <c r="J1" s="276"/>
      <c r="K1" s="276"/>
      <c r="L1" s="276"/>
      <c r="M1" s="276"/>
      <c r="O1" s="276"/>
      <c r="P1" s="276"/>
      <c r="Q1" s="276"/>
      <c r="R1" s="276"/>
      <c r="S1" s="276"/>
      <c r="U1" s="276"/>
      <c r="V1" s="276"/>
      <c r="W1" s="276"/>
      <c r="X1" s="276"/>
      <c r="Y1" s="276"/>
      <c r="AA1" s="276"/>
      <c r="AB1" s="276"/>
      <c r="AC1" s="276"/>
      <c r="AD1" s="276"/>
      <c r="AE1" s="276"/>
      <c r="AG1" s="276"/>
      <c r="AH1" s="276"/>
      <c r="AI1" s="276"/>
      <c r="AJ1" s="276"/>
      <c r="AK1" s="276"/>
      <c r="AM1" s="276"/>
      <c r="AN1" s="276"/>
      <c r="AO1" s="276"/>
      <c r="AP1" s="276"/>
      <c r="AQ1" s="276"/>
      <c r="AS1" s="276"/>
      <c r="AT1" s="276"/>
      <c r="AU1" s="276"/>
      <c r="AV1" s="276"/>
      <c r="AW1" s="276"/>
      <c r="AY1" s="276"/>
      <c r="AZ1" s="276"/>
      <c r="BA1" s="276"/>
      <c r="BB1" s="276"/>
      <c r="BC1" s="276"/>
      <c r="BE1" s="276"/>
      <c r="BF1" s="276"/>
      <c r="BG1" s="276"/>
      <c r="BH1" s="276"/>
      <c r="BI1" s="276"/>
      <c r="BK1" s="276"/>
      <c r="BL1" s="276"/>
      <c r="BM1" s="276"/>
      <c r="BN1" s="276"/>
      <c r="BO1" s="276"/>
      <c r="BQ1" s="276"/>
      <c r="BR1" s="276"/>
      <c r="BS1" s="276"/>
      <c r="BT1" s="276"/>
      <c r="BU1" s="276"/>
      <c r="BW1" s="275" t="s">
        <v>166</v>
      </c>
      <c r="BX1" s="275"/>
      <c r="BY1" s="275"/>
      <c r="BZ1" s="275"/>
      <c r="CA1" s="275"/>
      <c r="CC1" s="275"/>
      <c r="CD1" s="275"/>
      <c r="CE1" s="275"/>
      <c r="CF1" s="275"/>
      <c r="CG1" s="275"/>
      <c r="CI1" s="275"/>
      <c r="CJ1" s="275"/>
      <c r="CK1" s="275"/>
      <c r="CL1" s="275"/>
      <c r="CM1" s="275"/>
    </row>
    <row r="2" spans="1:221" x14ac:dyDescent="0.2">
      <c r="A2" s="1" t="s">
        <v>154</v>
      </c>
      <c r="C2" s="274">
        <v>2005</v>
      </c>
      <c r="D2" s="274"/>
      <c r="E2" s="274"/>
      <c r="F2" s="274"/>
      <c r="G2" s="274"/>
      <c r="I2" s="274">
        <v>2006</v>
      </c>
      <c r="J2" s="274"/>
      <c r="K2" s="274"/>
      <c r="L2" s="274"/>
      <c r="M2" s="274"/>
      <c r="O2" s="274">
        <v>2007</v>
      </c>
      <c r="P2" s="274"/>
      <c r="Q2" s="274"/>
      <c r="R2" s="274"/>
      <c r="S2" s="274"/>
      <c r="U2" s="274">
        <v>2008</v>
      </c>
      <c r="V2" s="274"/>
      <c r="W2" s="274"/>
      <c r="X2" s="274"/>
      <c r="Y2" s="274"/>
      <c r="AA2" s="274">
        <v>2009</v>
      </c>
      <c r="AB2" s="274"/>
      <c r="AC2" s="274"/>
      <c r="AD2" s="274"/>
      <c r="AE2" s="274"/>
      <c r="AG2" s="274">
        <v>2010</v>
      </c>
      <c r="AH2" s="274"/>
      <c r="AI2" s="274"/>
      <c r="AJ2" s="274"/>
      <c r="AK2" s="274"/>
      <c r="AM2" s="274">
        <v>2011</v>
      </c>
      <c r="AN2" s="274"/>
      <c r="AO2" s="274"/>
      <c r="AP2" s="274"/>
      <c r="AQ2" s="274"/>
      <c r="AS2" s="274">
        <v>2012</v>
      </c>
      <c r="AT2" s="274"/>
      <c r="AU2" s="274"/>
      <c r="AV2" s="274"/>
      <c r="AW2" s="274"/>
      <c r="AY2" s="274">
        <v>2013</v>
      </c>
      <c r="AZ2" s="274"/>
      <c r="BA2" s="274"/>
      <c r="BB2" s="274"/>
      <c r="BC2" s="274"/>
      <c r="BE2" s="274">
        <v>2014</v>
      </c>
      <c r="BF2" s="274"/>
      <c r="BG2" s="274"/>
      <c r="BH2" s="274"/>
      <c r="BI2" s="274"/>
      <c r="BK2" s="274">
        <v>2015</v>
      </c>
      <c r="BL2" s="274"/>
      <c r="BM2" s="274"/>
      <c r="BN2" s="274"/>
      <c r="BO2" s="274"/>
      <c r="BQ2" s="274">
        <v>2016</v>
      </c>
      <c r="BR2" s="274"/>
      <c r="BS2" s="274"/>
      <c r="BT2" s="274"/>
      <c r="BU2" s="274"/>
      <c r="BW2" s="274">
        <v>2017</v>
      </c>
      <c r="BX2" s="274"/>
      <c r="BY2" s="274"/>
      <c r="BZ2" s="274"/>
      <c r="CA2" s="274"/>
      <c r="CC2" s="274">
        <v>2018</v>
      </c>
      <c r="CD2" s="274"/>
      <c r="CE2" s="274"/>
      <c r="CF2" s="274"/>
      <c r="CG2" s="274"/>
      <c r="CI2" s="274">
        <v>2019</v>
      </c>
      <c r="CJ2" s="274"/>
      <c r="CK2" s="274"/>
      <c r="CL2" s="274"/>
      <c r="CM2" s="274"/>
    </row>
    <row r="3" spans="1:221" s="170" customFormat="1" x14ac:dyDescent="0.2">
      <c r="A3" s="169" t="s">
        <v>109</v>
      </c>
      <c r="B3" s="171"/>
      <c r="C3" s="171" t="s">
        <v>10</v>
      </c>
      <c r="D3" s="171" t="s">
        <v>11</v>
      </c>
      <c r="E3" s="171" t="s">
        <v>12</v>
      </c>
      <c r="F3" s="171" t="s">
        <v>13</v>
      </c>
      <c r="G3" s="171" t="s">
        <v>14</v>
      </c>
      <c r="I3" s="171" t="s">
        <v>10</v>
      </c>
      <c r="J3" s="171" t="s">
        <v>11</v>
      </c>
      <c r="K3" s="171" t="s">
        <v>12</v>
      </c>
      <c r="L3" s="171" t="s">
        <v>13</v>
      </c>
      <c r="M3" s="171" t="s">
        <v>14</v>
      </c>
      <c r="O3" s="171" t="s">
        <v>10</v>
      </c>
      <c r="P3" s="171" t="s">
        <v>11</v>
      </c>
      <c r="Q3" s="171" t="s">
        <v>12</v>
      </c>
      <c r="R3" s="171" t="s">
        <v>13</v>
      </c>
      <c r="S3" s="171" t="s">
        <v>14</v>
      </c>
      <c r="U3" s="171" t="s">
        <v>10</v>
      </c>
      <c r="V3" s="171" t="s">
        <v>11</v>
      </c>
      <c r="W3" s="171" t="s">
        <v>12</v>
      </c>
      <c r="X3" s="171" t="s">
        <v>13</v>
      </c>
      <c r="Y3" s="171" t="s">
        <v>14</v>
      </c>
      <c r="AA3" s="171" t="s">
        <v>10</v>
      </c>
      <c r="AB3" s="171" t="s">
        <v>11</v>
      </c>
      <c r="AC3" s="171" t="s">
        <v>12</v>
      </c>
      <c r="AD3" s="171" t="s">
        <v>13</v>
      </c>
      <c r="AE3" s="171" t="s">
        <v>14</v>
      </c>
      <c r="AG3" s="171" t="s">
        <v>10</v>
      </c>
      <c r="AH3" s="171" t="s">
        <v>11</v>
      </c>
      <c r="AI3" s="171" t="s">
        <v>12</v>
      </c>
      <c r="AJ3" s="171" t="s">
        <v>13</v>
      </c>
      <c r="AK3" s="171" t="s">
        <v>14</v>
      </c>
      <c r="AM3" s="171" t="s">
        <v>10</v>
      </c>
      <c r="AN3" s="171" t="s">
        <v>11</v>
      </c>
      <c r="AO3" s="171" t="s">
        <v>12</v>
      </c>
      <c r="AP3" s="171" t="s">
        <v>13</v>
      </c>
      <c r="AQ3" s="171" t="s">
        <v>14</v>
      </c>
      <c r="AS3" s="171" t="s">
        <v>10</v>
      </c>
      <c r="AT3" s="171" t="s">
        <v>11</v>
      </c>
      <c r="AU3" s="171" t="s">
        <v>12</v>
      </c>
      <c r="AV3" s="171" t="s">
        <v>13</v>
      </c>
      <c r="AW3" s="171" t="s">
        <v>14</v>
      </c>
      <c r="AY3" s="171" t="s">
        <v>10</v>
      </c>
      <c r="AZ3" s="171" t="s">
        <v>11</v>
      </c>
      <c r="BA3" s="171" t="s">
        <v>12</v>
      </c>
      <c r="BB3" s="171" t="s">
        <v>13</v>
      </c>
      <c r="BC3" s="171" t="s">
        <v>14</v>
      </c>
      <c r="BE3" s="171" t="s">
        <v>10</v>
      </c>
      <c r="BF3" s="171" t="s">
        <v>11</v>
      </c>
      <c r="BG3" s="171" t="s">
        <v>12</v>
      </c>
      <c r="BH3" s="171" t="s">
        <v>13</v>
      </c>
      <c r="BI3" s="171" t="s">
        <v>14</v>
      </c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  <c r="CI3" s="172" t="s">
        <v>10</v>
      </c>
      <c r="CJ3" s="172" t="s">
        <v>11</v>
      </c>
      <c r="CK3" s="172" t="s">
        <v>12</v>
      </c>
      <c r="CL3" s="172" t="s">
        <v>13</v>
      </c>
      <c r="CM3" s="172" t="s">
        <v>14</v>
      </c>
    </row>
    <row r="4" spans="1:221" s="162" customFormat="1" x14ac:dyDescent="0.2">
      <c r="G4" s="174"/>
      <c r="M4" s="174"/>
      <c r="S4" s="174"/>
      <c r="Y4" s="174"/>
      <c r="AE4" s="174"/>
      <c r="AK4" s="174"/>
      <c r="AQ4" s="174"/>
      <c r="AW4" s="174"/>
      <c r="BC4" s="174"/>
      <c r="BI4" s="174"/>
      <c r="BO4" s="174"/>
      <c r="BU4" s="174"/>
      <c r="CA4" s="174"/>
      <c r="CG4" s="174"/>
      <c r="CM4" s="174"/>
    </row>
    <row r="5" spans="1:221" x14ac:dyDescent="0.2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  <c r="CG5" s="36"/>
      <c r="CM5" s="36"/>
    </row>
    <row r="6" spans="1:221" x14ac:dyDescent="0.2">
      <c r="A6" s="2" t="s">
        <v>143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22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22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22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22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22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22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22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22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22">
        <v>368.2</v>
      </c>
      <c r="CA6" s="75">
        <f>SUM(BW6:BZ6)</f>
        <v>1428.9</v>
      </c>
      <c r="CB6" s="31"/>
      <c r="CC6" s="31">
        <v>351.1</v>
      </c>
      <c r="CD6" s="31">
        <v>407.2</v>
      </c>
      <c r="CE6" s="31">
        <v>367</v>
      </c>
      <c r="CF6" s="122">
        <f>1434.6-1125.3</f>
        <v>309.29999999999995</v>
      </c>
      <c r="CG6" s="75">
        <f>SUM(CC6:CF6)</f>
        <v>1434.6</v>
      </c>
      <c r="CH6" s="31"/>
      <c r="CI6" s="31">
        <v>279.8</v>
      </c>
      <c r="CJ6" s="31">
        <v>337.8</v>
      </c>
      <c r="CK6" s="31">
        <v>308.60000000000002</v>
      </c>
      <c r="CL6" s="122">
        <v>342</v>
      </c>
      <c r="CM6" s="75">
        <f>SUM(CI6:CL6)</f>
        <v>1268.2</v>
      </c>
    </row>
    <row r="7" spans="1:221" x14ac:dyDescent="0.2">
      <c r="A7" s="2" t="s">
        <v>164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22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22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22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22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22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22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22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22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22"/>
      <c r="CA7" s="75"/>
      <c r="CB7" s="31"/>
      <c r="CC7" s="31"/>
      <c r="CD7" s="31"/>
      <c r="CE7" s="31"/>
      <c r="CF7" s="122"/>
      <c r="CG7" s="75"/>
      <c r="CH7" s="31"/>
      <c r="CI7" s="31"/>
      <c r="CJ7" s="31"/>
      <c r="CK7" s="31"/>
      <c r="CL7" s="122"/>
      <c r="CM7" s="75"/>
    </row>
    <row r="8" spans="1:221" hidden="1" x14ac:dyDescent="0.2">
      <c r="A8" s="2" t="s">
        <v>28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22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22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22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22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22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22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22"/>
      <c r="BO8" s="75">
        <f t="shared" si="10"/>
        <v>0</v>
      </c>
      <c r="BP8" s="31"/>
      <c r="BQ8" s="31">
        <v>0</v>
      </c>
      <c r="BR8" s="31"/>
      <c r="BS8" s="31"/>
      <c r="BT8" s="122"/>
      <c r="BU8" s="75">
        <f t="shared" si="11"/>
        <v>0</v>
      </c>
      <c r="BV8" s="31"/>
      <c r="BW8" s="31">
        <v>0</v>
      </c>
      <c r="BX8" s="31"/>
      <c r="BY8" s="31"/>
      <c r="BZ8" s="122"/>
      <c r="CA8" s="75">
        <f t="shared" ref="CA8:CA12" si="12">SUM(BW8:BZ8)</f>
        <v>0</v>
      </c>
      <c r="CB8" s="31"/>
      <c r="CC8" s="31">
        <v>0</v>
      </c>
      <c r="CD8" s="31"/>
      <c r="CE8" s="31"/>
      <c r="CF8" s="122"/>
      <c r="CG8" s="75">
        <f t="shared" ref="CG8:CG11" si="13">SUM(CC8:CF8)</f>
        <v>0</v>
      </c>
      <c r="CH8" s="31"/>
      <c r="CI8" s="31">
        <v>0</v>
      </c>
      <c r="CJ8" s="31"/>
      <c r="CK8" s="31"/>
      <c r="CL8" s="122"/>
      <c r="CM8" s="75">
        <f t="shared" ref="CM8:CM9" si="14">SUM(CI8:CL8)</f>
        <v>0</v>
      </c>
    </row>
    <row r="9" spans="1:221" hidden="1" x14ac:dyDescent="0.2">
      <c r="A9" s="2" t="s">
        <v>29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22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22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22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22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22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22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22"/>
      <c r="BO9" s="75">
        <f t="shared" si="10"/>
        <v>0</v>
      </c>
      <c r="BP9" s="31"/>
      <c r="BQ9" s="31">
        <v>0</v>
      </c>
      <c r="BR9" s="31"/>
      <c r="BS9" s="31"/>
      <c r="BT9" s="122"/>
      <c r="BU9" s="75">
        <f t="shared" si="11"/>
        <v>0</v>
      </c>
      <c r="BV9" s="31"/>
      <c r="BW9" s="31">
        <v>0</v>
      </c>
      <c r="BX9" s="31"/>
      <c r="BY9" s="31"/>
      <c r="BZ9" s="122"/>
      <c r="CA9" s="75">
        <f t="shared" si="12"/>
        <v>0</v>
      </c>
      <c r="CB9" s="31"/>
      <c r="CC9" s="31">
        <v>0</v>
      </c>
      <c r="CD9" s="31"/>
      <c r="CE9" s="31"/>
      <c r="CF9" s="122"/>
      <c r="CG9" s="75">
        <f t="shared" si="13"/>
        <v>0</v>
      </c>
      <c r="CH9" s="31"/>
      <c r="CI9" s="31">
        <v>0</v>
      </c>
      <c r="CJ9" s="31"/>
      <c r="CK9" s="31"/>
      <c r="CL9" s="122"/>
      <c r="CM9" s="75">
        <f t="shared" si="14"/>
        <v>0</v>
      </c>
    </row>
    <row r="10" spans="1:221" x14ac:dyDescent="0.2">
      <c r="A10" s="2" t="s">
        <v>144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22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22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22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22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22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22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22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22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22">
        <v>21</v>
      </c>
      <c r="CA10" s="75">
        <f t="shared" si="12"/>
        <v>50.9</v>
      </c>
      <c r="CB10" s="31"/>
      <c r="CC10" s="31">
        <v>12.4</v>
      </c>
      <c r="CD10" s="31">
        <v>17.600000000000001</v>
      </c>
      <c r="CE10" s="31">
        <v>15.2</v>
      </c>
      <c r="CF10" s="122">
        <f>67.7-45.2</f>
        <v>22.5</v>
      </c>
      <c r="CG10" s="75">
        <f>SUM(CC10:CF10)</f>
        <v>67.7</v>
      </c>
      <c r="CH10" s="31"/>
      <c r="CI10" s="31">
        <v>14.5</v>
      </c>
      <c r="CJ10" s="31">
        <v>17.899999999999999</v>
      </c>
      <c r="CK10" s="31">
        <v>16.7</v>
      </c>
      <c r="CL10" s="122">
        <v>25.5</v>
      </c>
      <c r="CM10" s="75">
        <f>SUM(CI10:CL10)</f>
        <v>74.599999999999994</v>
      </c>
    </row>
    <row r="11" spans="1:221" hidden="1" x14ac:dyDescent="0.2">
      <c r="A11" s="2" t="s">
        <v>32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22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22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22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22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22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22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22"/>
      <c r="BO11" s="75">
        <f t="shared" si="10"/>
        <v>0</v>
      </c>
      <c r="BP11" s="31"/>
      <c r="BQ11" s="31">
        <v>0</v>
      </c>
      <c r="BR11" s="31"/>
      <c r="BS11" s="31"/>
      <c r="BT11" s="122"/>
      <c r="BU11" s="75">
        <f t="shared" si="11"/>
        <v>0</v>
      </c>
      <c r="BV11" s="31"/>
      <c r="BW11" s="31">
        <v>0</v>
      </c>
      <c r="BX11" s="31"/>
      <c r="BY11" s="31"/>
      <c r="BZ11" s="122"/>
      <c r="CA11" s="75">
        <f t="shared" si="12"/>
        <v>0</v>
      </c>
      <c r="CB11" s="31"/>
      <c r="CC11" s="31">
        <v>0</v>
      </c>
      <c r="CD11" s="31"/>
      <c r="CE11" s="31"/>
      <c r="CF11" s="122"/>
      <c r="CG11" s="75">
        <f t="shared" si="13"/>
        <v>0</v>
      </c>
      <c r="CH11" s="31"/>
      <c r="CI11" s="31">
        <v>0</v>
      </c>
      <c r="CJ11" s="31"/>
      <c r="CK11" s="31"/>
      <c r="CL11" s="122"/>
      <c r="CM11" s="75">
        <f t="shared" ref="CM11" si="15">SUM(CI11:CL11)</f>
        <v>0</v>
      </c>
    </row>
    <row r="12" spans="1:221" x14ac:dyDescent="0.2">
      <c r="A12" s="2" t="s">
        <v>52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22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22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22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22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22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22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22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22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22">
        <v>-0.5</v>
      </c>
      <c r="CA12" s="75">
        <f t="shared" si="12"/>
        <v>-0.5</v>
      </c>
      <c r="CB12" s="31"/>
      <c r="CC12" s="31">
        <v>0</v>
      </c>
      <c r="CD12" s="31">
        <v>-0.1</v>
      </c>
      <c r="CE12" s="31">
        <v>-0.4</v>
      </c>
      <c r="CF12" s="122">
        <v>-0.2</v>
      </c>
      <c r="CG12" s="75">
        <f>SUM(CC12:CF12)</f>
        <v>-0.7</v>
      </c>
      <c r="CH12" s="31"/>
      <c r="CI12" s="31">
        <v>0</v>
      </c>
      <c r="CJ12" s="31">
        <v>-0.3</v>
      </c>
      <c r="CK12" s="31">
        <v>0</v>
      </c>
      <c r="CL12" s="122">
        <v>-0.1</v>
      </c>
      <c r="CM12" s="75">
        <f>SUM(CI12:CL12)</f>
        <v>-0.4</v>
      </c>
    </row>
    <row r="13" spans="1:221" s="56" customFormat="1" ht="18.75" customHeight="1" x14ac:dyDescent="0.2">
      <c r="C13" s="123">
        <f>SUM(C5:C12)</f>
        <v>250.46979865771809</v>
      </c>
      <c r="D13" s="123">
        <f>SUM(D5:D12)</f>
        <v>307.65100671140942</v>
      </c>
      <c r="E13" s="123">
        <f>SUM(E5:E12)</f>
        <v>299.46308724832215</v>
      </c>
      <c r="F13" s="123">
        <f>SUM(F5:F12)</f>
        <v>316.91275167785233</v>
      </c>
      <c r="G13" s="124">
        <f>SUM(G5:G12)</f>
        <v>1174.4966442953021</v>
      </c>
      <c r="H13" s="123"/>
      <c r="I13" s="123">
        <f>SUM(I5:I12)</f>
        <v>323.75838926174498</v>
      </c>
      <c r="J13" s="123">
        <f>SUM(J5:J12)</f>
        <v>380.80536912751683</v>
      </c>
      <c r="K13" s="123">
        <f>SUM(K5:K12)</f>
        <v>362.81879194630869</v>
      </c>
      <c r="L13" s="123">
        <f>SUM(L5:L12)</f>
        <v>384.29530201342283</v>
      </c>
      <c r="M13" s="124">
        <f>SUM(M5:M12)</f>
        <v>1451.6778523489932</v>
      </c>
      <c r="N13" s="123"/>
      <c r="O13" s="123">
        <f>SUM(O5:O12)</f>
        <v>420.13422818791952</v>
      </c>
      <c r="P13" s="123">
        <f>SUM(P5:P12)</f>
        <v>484.83221476510067</v>
      </c>
      <c r="Q13" s="123">
        <f>SUM(Q5:Q12)</f>
        <v>450.46979865771812</v>
      </c>
      <c r="R13" s="123">
        <f>SUM(R5:R12)</f>
        <v>460.00000000000006</v>
      </c>
      <c r="S13" s="124">
        <f>SUM(S5:S12)</f>
        <v>1815.4362416107383</v>
      </c>
      <c r="T13" s="123"/>
      <c r="U13" s="123">
        <f>SUM(U5:U12)</f>
        <v>451.81208053691273</v>
      </c>
      <c r="V13" s="123">
        <f>SUM(V5:V12)</f>
        <v>508.5906040268456</v>
      </c>
      <c r="W13" s="123">
        <f>SUM(W5:W12)</f>
        <v>473.55704697986573</v>
      </c>
      <c r="X13" s="123">
        <f>SUM(X5:X12)</f>
        <v>422.14765100671138</v>
      </c>
      <c r="Y13" s="124">
        <f>SUM(Y5:Y12)</f>
        <v>1856.1073825503356</v>
      </c>
      <c r="Z13" s="123"/>
      <c r="AA13" s="123">
        <f>SUM(AA5:AA12)</f>
        <v>353.69127516778525</v>
      </c>
      <c r="AB13" s="123">
        <f>SUM(AB5:AB12)</f>
        <v>422.01342281879192</v>
      </c>
      <c r="AC13" s="123">
        <f>SUM(AC5:AC12)</f>
        <v>400.13422818791946</v>
      </c>
      <c r="AD13" s="123">
        <f>SUM(AD5:AD12)</f>
        <v>392.88590604026842</v>
      </c>
      <c r="AE13" s="124">
        <f>SUM(AE5:AE12)</f>
        <v>1568.724832214765</v>
      </c>
      <c r="AF13" s="123"/>
      <c r="AG13" s="123">
        <f>SUM(AG5:AG12)</f>
        <v>411.00671140939596</v>
      </c>
      <c r="AH13" s="123">
        <f>SUM(AH5:AH12)</f>
        <v>487.91946308724829</v>
      </c>
      <c r="AI13" s="123">
        <f>SUM(AI5:AI12)</f>
        <v>500</v>
      </c>
      <c r="AJ13" s="123">
        <f>SUM(AJ5:AJ12)</f>
        <v>540.80536912751677</v>
      </c>
      <c r="AK13" s="124">
        <f>SUM(AK5:AK12)</f>
        <v>1939.7315436241608</v>
      </c>
      <c r="AL13" s="123"/>
      <c r="AM13" s="123">
        <f>SUM(AM5:AM12)</f>
        <v>506.57718120805367</v>
      </c>
      <c r="AN13" s="123">
        <f>SUM(AN5:AN12)</f>
        <v>539.06040268456377</v>
      </c>
      <c r="AO13" s="123">
        <f>SUM(AO5:AO12)</f>
        <v>525.10067114093965</v>
      </c>
      <c r="AP13" s="123">
        <f>SUM(AP5:AP12)</f>
        <v>523.75838926174504</v>
      </c>
      <c r="AQ13" s="124">
        <f>SUM(AQ5:AQ12)</f>
        <v>2094.4966442953018</v>
      </c>
      <c r="AR13" s="123"/>
      <c r="AS13" s="123">
        <f>SUM(AS5:AS12)</f>
        <v>473.95973154362417</v>
      </c>
      <c r="AT13" s="123">
        <f>SUM(AT5:AT12)</f>
        <v>524.02684563758396</v>
      </c>
      <c r="AU13" s="123">
        <f>SUM(AU5:AU12)</f>
        <v>512.21476510067112</v>
      </c>
      <c r="AV13" s="123">
        <f>SUM(AV5:AV12)</f>
        <v>537.18120805369119</v>
      </c>
      <c r="AW13" s="124">
        <f>SUM(AW5:AW12)</f>
        <v>2047.3825503355706</v>
      </c>
      <c r="AX13" s="123"/>
      <c r="AY13" s="123">
        <f>SUM(AY5:AY12)</f>
        <v>471.0067114093959</v>
      </c>
      <c r="AZ13" s="123">
        <f>SUM(AZ5:AZ12)</f>
        <v>542.01342281879192</v>
      </c>
      <c r="BA13" s="123">
        <f>SUM(BA5:BA12)</f>
        <v>547.24832214765104</v>
      </c>
      <c r="BB13" s="123">
        <f>SUM(BB5:BB12)</f>
        <v>561.744966442953</v>
      </c>
      <c r="BC13" s="124">
        <f>SUM(BC5:BC12)</f>
        <v>2122.0134228187917</v>
      </c>
      <c r="BD13" s="123"/>
      <c r="BE13" s="123">
        <f>SUM(BE5:BE12)</f>
        <v>518.79194630872485</v>
      </c>
      <c r="BF13" s="123">
        <f>SUM(BF5:BF12)</f>
        <v>540.67114093959731</v>
      </c>
      <c r="BG13" s="123">
        <f>SUM(BG5:BG12)</f>
        <v>529.66442953020135</v>
      </c>
      <c r="BH13" s="123">
        <f>SUM(BH5:BH12)</f>
        <v>540.13422818791946</v>
      </c>
      <c r="BI13" s="124">
        <f>SUM(BI5:BI12)</f>
        <v>2129.2617449664426</v>
      </c>
      <c r="BJ13" s="123"/>
      <c r="BK13" s="123">
        <f>SUM(BK5:BK12)</f>
        <v>558.92617449664431</v>
      </c>
      <c r="BL13" s="123">
        <f>SUM(BL5:BL12)</f>
        <v>600.13422818791946</v>
      </c>
      <c r="BM13" s="123">
        <f>SUM(BM5:BM12)</f>
        <v>523.489932885906</v>
      </c>
      <c r="BN13" s="123">
        <f>SUM(BN5:BN12)</f>
        <v>541.00000000000011</v>
      </c>
      <c r="BO13" s="124">
        <f>SUM(BO5:BO12)</f>
        <v>2223.55033557047</v>
      </c>
      <c r="BP13" s="123"/>
      <c r="BQ13" s="123">
        <f>SUM(BQ5:BQ12)</f>
        <v>485.59999999999997</v>
      </c>
      <c r="BR13" s="123">
        <f>SUM(BR5:BR12)</f>
        <v>553.19999999999993</v>
      </c>
      <c r="BS13" s="123">
        <f>SUM(BS5:BS12)</f>
        <v>519</v>
      </c>
      <c r="BT13" s="123">
        <f>SUM(BT5:BT12)</f>
        <v>546.79999999999995</v>
      </c>
      <c r="BU13" s="124">
        <f>SUM(BU5:BU12)</f>
        <v>2104.6</v>
      </c>
      <c r="BV13" s="123"/>
      <c r="BW13" s="123">
        <f>SUM(BW5:BW12)</f>
        <v>550.29999999999995</v>
      </c>
      <c r="BX13" s="123">
        <f>SUM(BX5:BX12)</f>
        <v>681.5</v>
      </c>
      <c r="BY13" s="123">
        <f>SUM(BY5:BY12)</f>
        <v>660.5</v>
      </c>
      <c r="BZ13" s="123">
        <f>SUM(BZ5:BZ12)</f>
        <v>388.7</v>
      </c>
      <c r="CA13" s="124">
        <f>SUM(CA5:CA12)</f>
        <v>1479.3000000000002</v>
      </c>
      <c r="CB13" s="123"/>
      <c r="CC13" s="123">
        <f>SUM(CC5:CC12)</f>
        <v>363.5</v>
      </c>
      <c r="CD13" s="123">
        <f>SUM(CD5:CD12)</f>
        <v>424.7</v>
      </c>
      <c r="CE13" s="123">
        <f>SUM(CE5:CE12)</f>
        <v>381.8</v>
      </c>
      <c r="CF13" s="123">
        <f>SUM(CF5:CF12)</f>
        <v>331.59999999999997</v>
      </c>
      <c r="CG13" s="124">
        <f>SUM(CG5:CG12)</f>
        <v>1501.6</v>
      </c>
      <c r="CH13" s="123"/>
      <c r="CI13" s="123">
        <f>SUM(CI5:CI12)</f>
        <v>294.3</v>
      </c>
      <c r="CJ13" s="123">
        <f>SUM(CJ5:CJ12)</f>
        <v>355.4</v>
      </c>
      <c r="CK13" s="123">
        <f>SUM(CK5:CK12)</f>
        <v>325.3</v>
      </c>
      <c r="CL13" s="123">
        <f>SUM(CL5:CL12)</f>
        <v>367.4</v>
      </c>
      <c r="CM13" s="124">
        <f>SUM(CM5:CM12)</f>
        <v>1342.3999999999999</v>
      </c>
    </row>
    <row r="14" spans="1:221" s="63" customFormat="1" ht="8.4499999999999993" customHeight="1" x14ac:dyDescent="0.2">
      <c r="C14" s="125"/>
      <c r="D14" s="125"/>
      <c r="E14" s="125"/>
      <c r="F14" s="125"/>
      <c r="G14" s="126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6"/>
      <c r="T14" s="125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6"/>
      <c r="AF14" s="125"/>
      <c r="AG14" s="125">
        <v>0</v>
      </c>
      <c r="AH14" s="125">
        <v>0</v>
      </c>
      <c r="AI14" s="125">
        <v>0</v>
      </c>
      <c r="AJ14" s="125">
        <v>0</v>
      </c>
      <c r="AK14" s="126"/>
      <c r="AL14" s="125"/>
      <c r="AM14" s="125"/>
      <c r="AN14" s="125"/>
      <c r="AO14" s="125"/>
      <c r="AP14" s="125"/>
      <c r="AQ14" s="126"/>
      <c r="AR14" s="125"/>
      <c r="AS14" s="125"/>
      <c r="AT14" s="125"/>
      <c r="AU14" s="125"/>
      <c r="AV14" s="125"/>
      <c r="AW14" s="126"/>
      <c r="AX14" s="125"/>
      <c r="AY14" s="125"/>
      <c r="AZ14" s="125"/>
      <c r="BA14" s="125"/>
      <c r="BB14" s="125"/>
      <c r="BC14" s="126"/>
      <c r="BD14" s="125"/>
      <c r="BE14" s="125"/>
      <c r="BF14" s="125"/>
      <c r="BG14" s="125"/>
      <c r="BH14" s="125"/>
      <c r="BI14" s="126"/>
      <c r="BJ14" s="125"/>
      <c r="BK14" s="125"/>
      <c r="BL14" s="125"/>
      <c r="BM14" s="125"/>
      <c r="BN14" s="125"/>
      <c r="BO14" s="126"/>
      <c r="BP14" s="125"/>
      <c r="BQ14" s="125"/>
      <c r="BR14" s="125"/>
      <c r="BS14" s="125"/>
      <c r="BT14" s="125"/>
      <c r="BU14" s="126"/>
      <c r="BV14" s="125"/>
      <c r="BW14" s="125"/>
      <c r="BX14" s="125"/>
      <c r="BY14" s="125"/>
      <c r="BZ14" s="125"/>
      <c r="CA14" s="126"/>
      <c r="CB14" s="125"/>
      <c r="CC14" s="125"/>
      <c r="CD14" s="125"/>
      <c r="CE14" s="125"/>
      <c r="CF14" s="125"/>
      <c r="CG14" s="126"/>
      <c r="CH14" s="125"/>
      <c r="CI14" s="125"/>
      <c r="CJ14" s="125"/>
      <c r="CK14" s="125"/>
      <c r="CL14" s="125"/>
      <c r="CM14" s="126"/>
    </row>
    <row r="15" spans="1:221" s="5" customFormat="1" ht="11.1" customHeight="1" x14ac:dyDescent="0.2">
      <c r="A15" s="2" t="s">
        <v>148</v>
      </c>
      <c r="B15" s="2"/>
      <c r="C15" s="127">
        <f>(8+559)/7.45</f>
        <v>76.107382550335572</v>
      </c>
      <c r="D15" s="127">
        <f>(8+734)/7.45</f>
        <v>99.597315436241615</v>
      </c>
      <c r="E15" s="127">
        <f>(19+781)/7.45</f>
        <v>107.38255033557047</v>
      </c>
      <c r="F15" s="127">
        <f>(18+832)/7.45</f>
        <v>114.09395973154362</v>
      </c>
      <c r="G15" s="84">
        <f>SUM(C15:F15)</f>
        <v>397.18120805369125</v>
      </c>
      <c r="H15" s="31"/>
      <c r="I15" s="127">
        <f>(18+752)/7.45</f>
        <v>103.35570469798658</v>
      </c>
      <c r="J15" s="127">
        <f>(18+876)/7.45</f>
        <v>120</v>
      </c>
      <c r="K15" s="127">
        <f>(25+840)/7.45</f>
        <v>116.10738255033557</v>
      </c>
      <c r="L15" s="127">
        <f>(31+893)/7.45</f>
        <v>124.02684563758389</v>
      </c>
      <c r="M15" s="84">
        <f>SUM(I15:L15)</f>
        <v>463.48993288590606</v>
      </c>
      <c r="N15" s="31"/>
      <c r="O15" s="127">
        <v>145.36912751677852</v>
      </c>
      <c r="P15" s="127">
        <v>175.16778523489933</v>
      </c>
      <c r="Q15" s="127">
        <v>166.44295302013421</v>
      </c>
      <c r="R15" s="127">
        <v>170.33557046979865</v>
      </c>
      <c r="S15" s="84">
        <f>SUM(O15:R15)</f>
        <v>657.31543624161077</v>
      </c>
      <c r="T15" s="76"/>
      <c r="U15" s="127">
        <v>159.59731543624162</v>
      </c>
      <c r="V15" s="128">
        <v>186.44295302013421</v>
      </c>
      <c r="W15" s="129">
        <v>179.46308724832215</v>
      </c>
      <c r="X15" s="127">
        <v>173.95973154362414</v>
      </c>
      <c r="Y15" s="75">
        <f>SUM(U15:X15)</f>
        <v>699.46308724832204</v>
      </c>
      <c r="Z15" s="76"/>
      <c r="AA15" s="127">
        <v>131.27516778523488</v>
      </c>
      <c r="AB15" s="128">
        <v>178.25503355704697</v>
      </c>
      <c r="AC15" s="129">
        <v>159.06040268456374</v>
      </c>
      <c r="AD15" s="130">
        <v>155.03355704697987</v>
      </c>
      <c r="AE15" s="75">
        <f>SUM(AA15:AD15)</f>
        <v>623.62416107382546</v>
      </c>
      <c r="AF15" s="76"/>
      <c r="AG15" s="127">
        <v>139.06040268456377</v>
      </c>
      <c r="AH15" s="128">
        <v>184.42953020134229</v>
      </c>
      <c r="AI15" s="129">
        <v>204.83221476510067</v>
      </c>
      <c r="AJ15" s="130">
        <v>216.24161073825502</v>
      </c>
      <c r="AK15" s="75">
        <f>SUM(AG15:AJ15)</f>
        <v>744.56375838926169</v>
      </c>
      <c r="AL15" s="76"/>
      <c r="AM15" s="127">
        <v>170.20134228187919</v>
      </c>
      <c r="AN15" s="128">
        <v>184.83221476510067</v>
      </c>
      <c r="AO15" s="129">
        <v>197.4496644295302</v>
      </c>
      <c r="AP15" s="130">
        <v>203.89261744966441</v>
      </c>
      <c r="AQ15" s="75">
        <f>SUM(AM15:AP15)</f>
        <v>756.37583892617442</v>
      </c>
      <c r="AR15" s="76"/>
      <c r="AS15" s="127">
        <v>149.26174496644296</v>
      </c>
      <c r="AT15" s="128">
        <v>179.06040268456374</v>
      </c>
      <c r="AU15" s="129">
        <v>196.91275167785236</v>
      </c>
      <c r="AV15" s="130">
        <v>202.41610738255034</v>
      </c>
      <c r="AW15" s="75">
        <f>SUM(AS15:AV15)</f>
        <v>727.65100671140942</v>
      </c>
      <c r="AX15" s="76"/>
      <c r="AY15" s="127">
        <v>154.2281879194631</v>
      </c>
      <c r="AZ15" s="128">
        <v>196.37583892617448</v>
      </c>
      <c r="BA15" s="129">
        <v>222.95302013422818</v>
      </c>
      <c r="BB15" s="130">
        <v>234.09395973154361</v>
      </c>
      <c r="BC15" s="75">
        <f>SUM(AY15:BB15)</f>
        <v>807.65100671140931</v>
      </c>
      <c r="BD15" s="76"/>
      <c r="BE15" s="127">
        <v>184.96644295302013</v>
      </c>
      <c r="BF15" s="128">
        <v>202.14765100671141</v>
      </c>
      <c r="BG15" s="129">
        <v>222.41610738255034</v>
      </c>
      <c r="BH15" s="130">
        <v>203.22147651006711</v>
      </c>
      <c r="BI15" s="75">
        <f>SUM(BE15:BH15)</f>
        <v>812.75167785234896</v>
      </c>
      <c r="BJ15" s="76"/>
      <c r="BK15" s="127">
        <v>216.6442953020134</v>
      </c>
      <c r="BL15" s="128">
        <v>233.02013422818791</v>
      </c>
      <c r="BM15" s="129">
        <v>197.31543624161074</v>
      </c>
      <c r="BN15" s="130">
        <v>210.6</v>
      </c>
      <c r="BO15" s="75">
        <f>SUM(BK15:BN15)</f>
        <v>857.57986577181214</v>
      </c>
      <c r="BP15" s="76"/>
      <c r="BQ15" s="127">
        <v>163.30000000000001</v>
      </c>
      <c r="BR15" s="128">
        <v>200.1</v>
      </c>
      <c r="BS15" s="129">
        <v>196.3</v>
      </c>
      <c r="BT15" s="130">
        <v>190.7</v>
      </c>
      <c r="BU15" s="75">
        <f>SUM(BQ15:BT15)</f>
        <v>750.40000000000009</v>
      </c>
      <c r="BV15" s="76"/>
      <c r="BW15" s="127">
        <v>185.2</v>
      </c>
      <c r="BX15" s="128">
        <v>288.10000000000002</v>
      </c>
      <c r="BY15" s="129">
        <v>303.2</v>
      </c>
      <c r="BZ15" s="130">
        <v>281.5</v>
      </c>
      <c r="CA15" s="75">
        <f>SUM(BW15:BZ15)</f>
        <v>1058</v>
      </c>
      <c r="CB15" s="76"/>
      <c r="CC15" s="127">
        <v>254.5</v>
      </c>
      <c r="CD15" s="128">
        <v>306.39999999999998</v>
      </c>
      <c r="CE15" s="129">
        <v>286.89999999999998</v>
      </c>
      <c r="CF15" s="130">
        <f>1080.1-847.8</f>
        <v>232.29999999999995</v>
      </c>
      <c r="CG15" s="75">
        <f>SUM(CC15:CF15)</f>
        <v>1080.0999999999999</v>
      </c>
      <c r="CH15" s="76"/>
      <c r="CI15" s="127">
        <v>205.4</v>
      </c>
      <c r="CJ15" s="128">
        <v>245</v>
      </c>
      <c r="CK15" s="129">
        <v>232.4</v>
      </c>
      <c r="CL15" s="130">
        <v>262.2</v>
      </c>
      <c r="CM15" s="75">
        <f>SUM(CI15:CL15)</f>
        <v>945</v>
      </c>
      <c r="HH15" s="27"/>
    </row>
    <row r="16" spans="1:221" s="49" customFormat="1" ht="18.75" customHeight="1" x14ac:dyDescent="0.2">
      <c r="A16" s="49" t="s">
        <v>82</v>
      </c>
      <c r="C16" s="131">
        <f>+C13-C6+C15</f>
        <v>240.1342281879194</v>
      </c>
      <c r="D16" s="131">
        <f>+D13-D6+D15</f>
        <v>290.46979865771817</v>
      </c>
      <c r="E16" s="131">
        <f>+E13-E6+E15</f>
        <v>278.79194630872485</v>
      </c>
      <c r="F16" s="131">
        <f>+F13-F6+F15</f>
        <v>288.5906040268456</v>
      </c>
      <c r="G16" s="80">
        <f>+G13-G6+G15</f>
        <v>1097.9865771812081</v>
      </c>
      <c r="H16" s="131"/>
      <c r="I16" s="131">
        <f>+I13-I6+I15</f>
        <v>288.45637583892619</v>
      </c>
      <c r="J16" s="131">
        <f>+J13-J6+J15</f>
        <v>316.510067114094</v>
      </c>
      <c r="K16" s="131">
        <f>+K13-K6+K15</f>
        <v>292.34899328859058</v>
      </c>
      <c r="L16" s="131">
        <f>+L13-L6+L15</f>
        <v>310.73825503355704</v>
      </c>
      <c r="M16" s="80">
        <f>+M13-M6+M15</f>
        <v>1208.0536912751677</v>
      </c>
      <c r="N16" s="131"/>
      <c r="O16" s="131">
        <f>+O13-O6+O15</f>
        <v>340.80536912751683</v>
      </c>
      <c r="P16" s="131">
        <f>+P13-P6+P15</f>
        <v>385.1006711409396</v>
      </c>
      <c r="Q16" s="131">
        <f>+Q13-Q6+Q15</f>
        <v>351.54362416107381</v>
      </c>
      <c r="R16" s="131">
        <f>+R13-R6+R15</f>
        <v>371.94630872483225</v>
      </c>
      <c r="S16" s="80">
        <f>+S13-S6+S15</f>
        <v>1449.3959731543625</v>
      </c>
      <c r="T16" s="131"/>
      <c r="U16" s="131">
        <f>+U13-U6+U15</f>
        <v>362.28187919463085</v>
      </c>
      <c r="V16" s="131">
        <f>+V13-V6+V15</f>
        <v>413.55704697986573</v>
      </c>
      <c r="W16" s="131">
        <f>+W13-W6+W15</f>
        <v>377.7181208053691</v>
      </c>
      <c r="X16" s="131">
        <f>+X13-X6+X15</f>
        <v>359.59731543624162</v>
      </c>
      <c r="Y16" s="80">
        <f>+U16+V16+W16+X16</f>
        <v>1513.1543624161072</v>
      </c>
      <c r="Z16" s="131"/>
      <c r="AA16" s="131">
        <f>+AA13-AA6+AA15</f>
        <v>314.49664429530202</v>
      </c>
      <c r="AB16" s="131">
        <f>+AB13-AB6+AB15</f>
        <v>361.20805369127515</v>
      </c>
      <c r="AC16" s="131">
        <f>+AC13-AC6+AC15</f>
        <v>330.60402684563758</v>
      </c>
      <c r="AD16" s="132">
        <f>+AD13-AD6+AD15</f>
        <v>329.26174496644296</v>
      </c>
      <c r="AE16" s="80">
        <f>+AA16+AB16+AC16+AD16</f>
        <v>1335.5704697986578</v>
      </c>
      <c r="AF16" s="131"/>
      <c r="AG16" s="131">
        <f>+AG13-AG6+AG15</f>
        <v>334.76510067114094</v>
      </c>
      <c r="AH16" s="131">
        <f>+AH13-AH6+AH15</f>
        <v>396.37583892617448</v>
      </c>
      <c r="AI16" s="131">
        <f>+AI13-AI6+AI15</f>
        <v>395.03355704697987</v>
      </c>
      <c r="AJ16" s="132">
        <f>+AJ13-AJ6+AJ15</f>
        <v>414.49664429530202</v>
      </c>
      <c r="AK16" s="80">
        <f>+AG16+AH16+AI16+AJ16</f>
        <v>1540.6711409395973</v>
      </c>
      <c r="AL16" s="131"/>
      <c r="AM16" s="131">
        <f>+AM13-AM6+AM15</f>
        <v>384.29530201342283</v>
      </c>
      <c r="AN16" s="131">
        <f>+AN13-AN6+AN15</f>
        <v>413.02013422818794</v>
      </c>
      <c r="AO16" s="131">
        <f>+AO13-AO6+AO15</f>
        <v>406.30872483221481</v>
      </c>
      <c r="AP16" s="132">
        <f>+AP13-AP6+AP15</f>
        <v>427.3825503355705</v>
      </c>
      <c r="AQ16" s="80">
        <f>+AM16+AN16+AO16+AP16</f>
        <v>1631.0067114093963</v>
      </c>
      <c r="AR16" s="131"/>
      <c r="AS16" s="131">
        <f>+AS13-AS6+AS15</f>
        <v>376.64429530201346</v>
      </c>
      <c r="AT16" s="131">
        <f>+AT13-AT6+AT15</f>
        <v>413.28859060402692</v>
      </c>
      <c r="AU16" s="131">
        <f>+AU13-AU6+AU15</f>
        <v>407.51677852348996</v>
      </c>
      <c r="AV16" s="132">
        <f>+AV13-AV6+AV15</f>
        <v>433.15436241610735</v>
      </c>
      <c r="AW16" s="80">
        <f>+AS16+AT16+AU16+AV16</f>
        <v>1630.6040268456377</v>
      </c>
      <c r="AX16" s="131"/>
      <c r="AY16" s="131">
        <f>+AY13-AY6+AY15</f>
        <v>383.75838926174492</v>
      </c>
      <c r="AZ16" s="131">
        <f>+AZ13-AZ6+AZ15</f>
        <v>438.12080536912748</v>
      </c>
      <c r="BA16" s="131">
        <f>+BA13-BA6+BA15</f>
        <v>440.53691275167785</v>
      </c>
      <c r="BB16" s="131">
        <f>+BB13-BB6+BB15</f>
        <v>461.47651006711408</v>
      </c>
      <c r="BC16" s="80">
        <f>+AY16+AZ16+BA16+BB16</f>
        <v>1723.8926174496644</v>
      </c>
      <c r="BD16" s="131"/>
      <c r="BE16" s="131">
        <f>+BE13-BE6+BE15</f>
        <v>426.71140939597319</v>
      </c>
      <c r="BF16" s="131">
        <f>+BF13-BF6+BF15</f>
        <v>447.91946308724835</v>
      </c>
      <c r="BG16" s="131">
        <f>+BG13-BG6+BG15</f>
        <v>440.40268456375838</v>
      </c>
      <c r="BH16" s="131">
        <f>+BH13-BH6+BH15</f>
        <v>454.09395973154358</v>
      </c>
      <c r="BI16" s="80">
        <f>+BE16+BF16+BG16+BH16</f>
        <v>1769.1275167785234</v>
      </c>
      <c r="BJ16" s="131"/>
      <c r="BK16" s="131">
        <f>+BK13-BK6+BK15</f>
        <v>466.44295302013421</v>
      </c>
      <c r="BL16" s="131">
        <f>+BL13-BL6+BL15</f>
        <v>494.49664429530196</v>
      </c>
      <c r="BM16" s="131">
        <f>+BM13-BM6+BM15</f>
        <v>438.65771812080538</v>
      </c>
      <c r="BN16" s="131">
        <f>+BN13-BN6+BN15</f>
        <v>469.6</v>
      </c>
      <c r="BO16" s="80">
        <f>+BK16+BL16+BM16+BN16</f>
        <v>1869.1973154362418</v>
      </c>
      <c r="BP16" s="131"/>
      <c r="BQ16" s="131">
        <f>+BQ13-BQ6+BQ15</f>
        <v>425.9</v>
      </c>
      <c r="BR16" s="131">
        <f>+BR13-BR6+BR15</f>
        <v>485.49999999999989</v>
      </c>
      <c r="BS16" s="131">
        <f>+BS13-BS6+BS15</f>
        <v>457.40000000000003</v>
      </c>
      <c r="BT16" s="131">
        <f>+BT13-BT6+BT15</f>
        <v>482.49999999999994</v>
      </c>
      <c r="BU16" s="80">
        <f>+BQ16+BR16+BS16+BT16</f>
        <v>1851.3</v>
      </c>
      <c r="BV16" s="131"/>
      <c r="BW16" s="131">
        <f>+BW13-BW6+BW15</f>
        <v>461.69999999999993</v>
      </c>
      <c r="BX16" s="131">
        <f>+BX13-BX6+BX15</f>
        <v>579.29999999999995</v>
      </c>
      <c r="BY16" s="131">
        <f>+BY13-BY6+BY15</f>
        <v>567.09999999999991</v>
      </c>
      <c r="BZ16" s="131">
        <f>+BZ13-BZ6+BZ15</f>
        <v>302</v>
      </c>
      <c r="CA16" s="80">
        <f>+CA13-CA6+CA15</f>
        <v>1108.4000000000001</v>
      </c>
      <c r="CB16" s="131"/>
      <c r="CC16" s="131">
        <f>+CC13-CC6+CC15</f>
        <v>266.89999999999998</v>
      </c>
      <c r="CD16" s="131">
        <f>+CD15+CD10</f>
        <v>324</v>
      </c>
      <c r="CE16" s="131">
        <f>+CE13-CE6+CE15-0.06</f>
        <v>301.64</v>
      </c>
      <c r="CF16" s="131">
        <f>+CF13-CF6+CF15</f>
        <v>254.59999999999997</v>
      </c>
      <c r="CG16" s="80">
        <f>SUM(CC16:CF16)</f>
        <v>1147.1399999999999</v>
      </c>
      <c r="CH16" s="131"/>
      <c r="CI16" s="131">
        <f>+CI13-CI6+CI15</f>
        <v>219.9</v>
      </c>
      <c r="CJ16" s="131">
        <f>+CJ13-CJ6+CJ15</f>
        <v>262.59999999999997</v>
      </c>
      <c r="CK16" s="131">
        <f>+CK13-CK6+CK15</f>
        <v>249.1</v>
      </c>
      <c r="CL16" s="131">
        <f>+CL13-CL6+CL15</f>
        <v>287.59999999999997</v>
      </c>
      <c r="CM16" s="80">
        <f>SUM(CI16:CL16)</f>
        <v>1019.2</v>
      </c>
      <c r="HM16" s="50" t="s">
        <v>49</v>
      </c>
    </row>
    <row r="17" spans="1:91" s="66" customFormat="1" ht="18.75" customHeight="1" x14ac:dyDescent="0.2">
      <c r="C17" s="133"/>
      <c r="D17" s="133"/>
      <c r="E17" s="133"/>
      <c r="F17" s="133"/>
      <c r="G17" s="126"/>
      <c r="H17" s="133"/>
      <c r="I17" s="133"/>
      <c r="J17" s="133"/>
      <c r="K17" s="133"/>
      <c r="L17" s="133"/>
      <c r="M17" s="126"/>
      <c r="N17" s="133"/>
      <c r="O17" s="133"/>
      <c r="P17" s="133"/>
      <c r="Q17" s="133"/>
      <c r="R17" s="133"/>
      <c r="S17" s="126"/>
      <c r="T17" s="133"/>
      <c r="U17" s="133"/>
      <c r="V17" s="133"/>
      <c r="W17" s="133"/>
      <c r="X17" s="133"/>
      <c r="Y17" s="126"/>
      <c r="Z17" s="133"/>
      <c r="AA17" s="133"/>
      <c r="AB17" s="133"/>
      <c r="AC17" s="133"/>
      <c r="AD17" s="134"/>
      <c r="AE17" s="126"/>
      <c r="AF17" s="133"/>
      <c r="AG17" s="133"/>
      <c r="AH17" s="133"/>
      <c r="AI17" s="133"/>
      <c r="AJ17" s="134"/>
      <c r="AK17" s="126"/>
      <c r="AL17" s="133"/>
      <c r="AM17" s="133"/>
      <c r="AN17" s="133"/>
      <c r="AO17" s="133"/>
      <c r="AP17" s="134"/>
      <c r="AQ17" s="126"/>
      <c r="AR17" s="133"/>
      <c r="AS17" s="133"/>
      <c r="AT17" s="133"/>
      <c r="AU17" s="133"/>
      <c r="AV17" s="134"/>
      <c r="AW17" s="126"/>
      <c r="AX17" s="133"/>
      <c r="AY17" s="133"/>
      <c r="AZ17" s="133"/>
      <c r="BA17" s="133"/>
      <c r="BB17" s="134"/>
      <c r="BC17" s="126"/>
      <c r="BD17" s="133"/>
      <c r="BE17" s="133"/>
      <c r="BF17" s="133"/>
      <c r="BG17" s="133"/>
      <c r="BH17" s="134"/>
      <c r="BI17" s="126"/>
      <c r="BJ17" s="133"/>
      <c r="BK17" s="133"/>
      <c r="BL17" s="133"/>
      <c r="BM17" s="133"/>
      <c r="BN17" s="134"/>
      <c r="BO17" s="126"/>
      <c r="BP17" s="133"/>
      <c r="BQ17" s="133"/>
      <c r="BR17" s="133"/>
      <c r="BS17" s="133"/>
      <c r="BT17" s="134"/>
      <c r="BU17" s="126"/>
      <c r="BV17" s="133"/>
      <c r="BW17" s="133"/>
      <c r="BX17" s="133"/>
      <c r="BY17" s="133"/>
      <c r="BZ17" s="134"/>
      <c r="CA17" s="126"/>
      <c r="CB17" s="133"/>
      <c r="CC17" s="133"/>
      <c r="CD17" s="133"/>
      <c r="CE17" s="133"/>
      <c r="CF17" s="134"/>
      <c r="CG17" s="126"/>
      <c r="CH17" s="133"/>
      <c r="CI17" s="133"/>
      <c r="CJ17" s="133"/>
      <c r="CK17" s="133"/>
      <c r="CL17" s="134"/>
      <c r="CM17" s="126"/>
    </row>
    <row r="18" spans="1:91" x14ac:dyDescent="0.2">
      <c r="A18" s="5" t="s">
        <v>85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22"/>
      <c r="AE18" s="75"/>
      <c r="AF18" s="31"/>
      <c r="AG18" s="31"/>
      <c r="AH18" s="31"/>
      <c r="AI18" s="31"/>
      <c r="AJ18" s="122"/>
      <c r="AK18" s="75"/>
      <c r="AL18" s="31"/>
      <c r="AM18" s="31"/>
      <c r="AN18" s="31"/>
      <c r="AO18" s="31"/>
      <c r="AP18" s="122"/>
      <c r="AQ18" s="75"/>
      <c r="AR18" s="31"/>
      <c r="AS18" s="31"/>
      <c r="AT18" s="31"/>
      <c r="AU18" s="31"/>
      <c r="AV18" s="122"/>
      <c r="AW18" s="75"/>
      <c r="AX18" s="31"/>
      <c r="AY18" s="31"/>
      <c r="AZ18" s="31"/>
      <c r="BA18" s="31"/>
      <c r="BB18" s="122"/>
      <c r="BC18" s="75"/>
      <c r="BD18" s="31"/>
      <c r="BE18" s="31"/>
      <c r="BF18" s="31"/>
      <c r="BG18" s="31"/>
      <c r="BH18" s="122"/>
      <c r="BI18" s="75"/>
      <c r="BJ18" s="31"/>
      <c r="BK18" s="31"/>
      <c r="BL18" s="31"/>
      <c r="BM18" s="31"/>
      <c r="BN18" s="122"/>
      <c r="BO18" s="75"/>
      <c r="BP18" s="31"/>
      <c r="BQ18" s="31"/>
      <c r="BR18" s="31"/>
      <c r="BS18" s="31"/>
      <c r="BT18" s="122"/>
      <c r="BU18" s="75"/>
      <c r="BV18" s="31"/>
      <c r="BW18" s="31"/>
      <c r="BX18" s="31"/>
      <c r="BY18" s="31"/>
      <c r="BZ18" s="122"/>
      <c r="CA18" s="75"/>
      <c r="CB18" s="31"/>
      <c r="CC18" s="31"/>
      <c r="CD18" s="31"/>
      <c r="CE18" s="31"/>
      <c r="CF18" s="122"/>
      <c r="CG18" s="75"/>
      <c r="CH18" s="31"/>
      <c r="CI18" s="31"/>
      <c r="CJ18" s="31"/>
      <c r="CK18" s="31"/>
      <c r="CL18" s="122"/>
      <c r="CM18" s="75"/>
    </row>
    <row r="19" spans="1:91" x14ac:dyDescent="0.2">
      <c r="A19" s="2" t="s">
        <v>145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22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22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22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22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22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22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22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22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22">
        <f>143-4.7-104.5</f>
        <v>33.800000000000011</v>
      </c>
      <c r="CA19" s="75">
        <f>SUM(BW19:BZ19)</f>
        <v>138.30000000000001</v>
      </c>
      <c r="CB19" s="31"/>
      <c r="CC19" s="31">
        <v>20.399999999999999</v>
      </c>
      <c r="CD19" s="31">
        <v>32.1</v>
      </c>
      <c r="CE19" s="31">
        <v>26.1</v>
      </c>
      <c r="CF19" s="122">
        <f>70.2-78.6</f>
        <v>-8.3999999999999915</v>
      </c>
      <c r="CG19" s="75">
        <f>SUM(CC19:CF19)</f>
        <v>70.2</v>
      </c>
      <c r="CH19" s="31"/>
      <c r="CI19" s="31">
        <v>-2.4</v>
      </c>
      <c r="CJ19" s="31">
        <v>9.4</v>
      </c>
      <c r="CK19" s="31">
        <v>6.9</v>
      </c>
      <c r="CL19" s="122">
        <v>1.2</v>
      </c>
      <c r="CM19" s="75">
        <f>SUM(CI19:CL19)</f>
        <v>15.1</v>
      </c>
    </row>
    <row r="20" spans="1:91" x14ac:dyDescent="0.2">
      <c r="A20" s="2" t="s">
        <v>164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22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22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22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22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22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22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22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22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22"/>
      <c r="CA20" s="75"/>
      <c r="CB20" s="31"/>
      <c r="CC20" s="31"/>
      <c r="CD20" s="31"/>
      <c r="CE20" s="31"/>
      <c r="CF20" s="122"/>
      <c r="CG20" s="75"/>
      <c r="CH20" s="31"/>
      <c r="CI20" s="31"/>
      <c r="CJ20" s="31"/>
      <c r="CK20" s="31"/>
      <c r="CL20" s="122"/>
      <c r="CM20" s="75"/>
    </row>
    <row r="21" spans="1:91" x14ac:dyDescent="0.2">
      <c r="A21" s="2" t="s">
        <v>76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22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22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22">
        <v>2.6845637583892619</v>
      </c>
      <c r="AQ21" s="75">
        <f>SUM(AM21:AP21)</f>
        <v>21.208053691275168</v>
      </c>
      <c r="AR21" s="31"/>
      <c r="AS21" s="31"/>
      <c r="AT21" s="31"/>
      <c r="AU21" s="31"/>
      <c r="AV21" s="122"/>
      <c r="AW21" s="75">
        <f>SUM(AS21:AV21)</f>
        <v>0</v>
      </c>
      <c r="AX21" s="31"/>
      <c r="AY21" s="31"/>
      <c r="AZ21" s="31"/>
      <c r="BA21" s="31"/>
      <c r="BB21" s="122"/>
      <c r="BC21" s="75">
        <f>SUM(AY21:BB21)</f>
        <v>0</v>
      </c>
      <c r="BD21" s="31"/>
      <c r="BE21" s="31"/>
      <c r="BF21" s="31"/>
      <c r="BG21" s="31"/>
      <c r="BH21" s="122"/>
      <c r="BI21" s="75">
        <f>SUM(BE21:BH21)</f>
        <v>0</v>
      </c>
      <c r="BJ21" s="31"/>
      <c r="BK21" s="31"/>
      <c r="BL21" s="31"/>
      <c r="BM21" s="31"/>
      <c r="BN21" s="122"/>
      <c r="BO21" s="75">
        <f>SUM(BK21:BN21)</f>
        <v>0</v>
      </c>
      <c r="BP21" s="31"/>
      <c r="BQ21" s="31"/>
      <c r="BR21" s="31"/>
      <c r="BS21" s="31"/>
      <c r="BT21" s="122"/>
      <c r="BU21" s="75">
        <f>SUM(BQ21:BT21)</f>
        <v>0</v>
      </c>
      <c r="BV21" s="31"/>
      <c r="BW21" s="31"/>
      <c r="BX21" s="31"/>
      <c r="BY21" s="31"/>
      <c r="BZ21" s="122"/>
      <c r="CA21" s="75">
        <f>SUM(BW21:BZ21)</f>
        <v>0</v>
      </c>
      <c r="CB21" s="31"/>
      <c r="CC21" s="31"/>
      <c r="CD21" s="31"/>
      <c r="CE21" s="31"/>
      <c r="CF21" s="122"/>
      <c r="CG21" s="75">
        <f>SUM(CC21:CF21)</f>
        <v>0</v>
      </c>
      <c r="CH21" s="31"/>
      <c r="CI21" s="31"/>
      <c r="CJ21" s="31"/>
      <c r="CK21" s="31"/>
      <c r="CL21" s="122"/>
      <c r="CM21" s="75">
        <f>SUM(CI21:CL21)</f>
        <v>0</v>
      </c>
    </row>
    <row r="22" spans="1:91" x14ac:dyDescent="0.2">
      <c r="A22" s="2" t="s">
        <v>144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22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22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22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22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22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22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22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22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22">
        <f>3.5+2.2</f>
        <v>5.7</v>
      </c>
      <c r="CA22" s="75">
        <f>SUM(BW22:BZ22)</f>
        <v>3.5</v>
      </c>
      <c r="CB22" s="31"/>
      <c r="CC22" s="31">
        <v>-1.5</v>
      </c>
      <c r="CD22" s="31">
        <v>1</v>
      </c>
      <c r="CE22" s="31">
        <v>1.5</v>
      </c>
      <c r="CF22" s="122">
        <v>8</v>
      </c>
      <c r="CG22" s="75">
        <f>SUM(CC22:CF22)</f>
        <v>9</v>
      </c>
      <c r="CH22" s="31"/>
      <c r="CI22" s="31">
        <v>-0.4</v>
      </c>
      <c r="CJ22" s="31">
        <v>3.9</v>
      </c>
      <c r="CK22" s="31">
        <v>3.9</v>
      </c>
      <c r="CL22" s="122">
        <v>7.2</v>
      </c>
      <c r="CM22" s="75">
        <f>SUM(CI22:CL22)</f>
        <v>14.600000000000001</v>
      </c>
    </row>
    <row r="23" spans="1:91" x14ac:dyDescent="0.2">
      <c r="A23" s="2" t="s">
        <v>52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22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22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22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22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22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22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22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22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22"/>
      <c r="CA23" s="75">
        <f>SUM(BW23:BZ23)</f>
        <v>0</v>
      </c>
      <c r="CB23" s="31"/>
      <c r="CC23" s="31"/>
      <c r="CD23" s="31"/>
      <c r="CE23" s="31"/>
      <c r="CF23" s="122">
        <v>0.1</v>
      </c>
      <c r="CG23" s="75">
        <f>SUM(CC23:CF23)</f>
        <v>0.1</v>
      </c>
      <c r="CH23" s="31"/>
      <c r="CI23" s="31"/>
      <c r="CJ23" s="31"/>
      <c r="CK23" s="31"/>
      <c r="CL23" s="122"/>
      <c r="CM23" s="75">
        <f>SUM(CI23:CL23)</f>
        <v>0</v>
      </c>
    </row>
    <row r="24" spans="1:91" s="53" customFormat="1" x14ac:dyDescent="0.2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35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  <c r="CC24" s="79">
        <f>SUM(CC18:CC23)</f>
        <v>18.899999999999999</v>
      </c>
      <c r="CD24" s="79">
        <f>SUM(CD18:CD23)</f>
        <v>33.1</v>
      </c>
      <c r="CE24" s="79">
        <f>SUM(CE18:CE23)</f>
        <v>27.6</v>
      </c>
      <c r="CF24" s="79">
        <f>SUM(CF18:CF23)</f>
        <v>-0.2999999999999915</v>
      </c>
      <c r="CG24" s="80">
        <f>SUM(CG18:CG23)</f>
        <v>79.3</v>
      </c>
      <c r="CH24" s="82"/>
      <c r="CI24" s="79">
        <f>SUM(CI18:CI23)</f>
        <v>-2.8</v>
      </c>
      <c r="CJ24" s="79">
        <f>SUM(CJ18:CJ23)</f>
        <v>13.3</v>
      </c>
      <c r="CK24" s="79">
        <f>SUM(CK18:CK23)</f>
        <v>10.8</v>
      </c>
      <c r="CL24" s="79">
        <f>SUM(CL18:CL23)</f>
        <v>8.4</v>
      </c>
      <c r="CM24" s="80">
        <f>SUM(CM18:CM23)</f>
        <v>29.700000000000003</v>
      </c>
    </row>
    <row r="25" spans="1:91" s="60" customFormat="1" ht="18.75" customHeight="1" x14ac:dyDescent="0.2">
      <c r="A25" s="63" t="s">
        <v>83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  <c r="CC25" s="69">
        <f>+CC24/CC16</f>
        <v>7.0813038591232669E-2</v>
      </c>
      <c r="CD25" s="69">
        <f>+CD24/CD16</f>
        <v>0.1021604938271605</v>
      </c>
      <c r="CE25" s="69">
        <f>+CE24/CE16</f>
        <v>9.1499801087388949E-2</v>
      </c>
      <c r="CF25" s="69">
        <f>+CF24/CF16</f>
        <v>-1.1783189316574687E-3</v>
      </c>
      <c r="CG25" s="68">
        <f>+CG24/CG16</f>
        <v>6.91284411667277E-2</v>
      </c>
      <c r="CI25" s="69">
        <f>+CI24/CI16</f>
        <v>-1.2733060482037288E-2</v>
      </c>
      <c r="CJ25" s="69">
        <f>+CJ24/CJ16</f>
        <v>5.0647372429550655E-2</v>
      </c>
      <c r="CK25" s="69">
        <f>+CK24/CK16</f>
        <v>4.3356081894821361E-2</v>
      </c>
      <c r="CL25" s="69">
        <f>+CL24/CL16</f>
        <v>2.9207232267037558E-2</v>
      </c>
      <c r="CM25" s="68">
        <f>+CM24/CM16</f>
        <v>2.9140502354788069E-2</v>
      </c>
    </row>
    <row r="26" spans="1:91" ht="18.75" customHeight="1" x14ac:dyDescent="0.2">
      <c r="A26" s="5" t="s">
        <v>147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  <c r="CC26" s="29">
        <f>+CC19/CC15</f>
        <v>8.0157170923379165E-2</v>
      </c>
      <c r="CD26" s="29">
        <f>+CD19/CD15</f>
        <v>0.1047650130548303</v>
      </c>
      <c r="CE26" s="29">
        <f>+CE19/CE15</f>
        <v>9.0972464273265954E-2</v>
      </c>
      <c r="CF26" s="29">
        <f>+CF19/CF15</f>
        <v>-3.6160137752905698E-2</v>
      </c>
      <c r="CG26" s="64">
        <f>+CG19/CG15</f>
        <v>6.4993982038700132E-2</v>
      </c>
      <c r="CI26" s="29">
        <f>+CI19/CI15</f>
        <v>-1.1684518013631937E-2</v>
      </c>
      <c r="CJ26" s="29">
        <f>+CJ19/CJ15</f>
        <v>3.8367346938775512E-2</v>
      </c>
      <c r="CK26" s="29">
        <f>+CK19/CK15</f>
        <v>2.9690189328743545E-2</v>
      </c>
      <c r="CL26" s="29">
        <f>+CL19/CL15</f>
        <v>4.5766590389016018E-3</v>
      </c>
      <c r="CM26" s="64">
        <f>+CM19/CM15</f>
        <v>1.5978835978835978E-2</v>
      </c>
    </row>
    <row r="27" spans="1:91" ht="18.75" customHeight="1" x14ac:dyDescent="0.2">
      <c r="A27" s="5" t="s">
        <v>84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  <c r="CC27" s="29"/>
      <c r="CD27" s="29"/>
      <c r="CE27" s="29"/>
      <c r="CF27" s="28"/>
      <c r="CG27" s="64"/>
      <c r="CI27" s="29"/>
      <c r="CJ27" s="29"/>
      <c r="CK27" s="29"/>
      <c r="CL27" s="28"/>
      <c r="CM27" s="64"/>
    </row>
    <row r="28" spans="1:91" ht="18.75" customHeight="1" x14ac:dyDescent="0.2">
      <c r="A28" s="5" t="s">
        <v>149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50" t="s">
        <v>137</v>
      </c>
      <c r="BR28" s="150" t="s">
        <v>137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50" t="s">
        <v>137</v>
      </c>
      <c r="BX28" s="28">
        <f>+BX22/BX10</f>
        <v>6.25E-2</v>
      </c>
      <c r="BY28" s="150" t="s">
        <v>137</v>
      </c>
      <c r="BZ28" s="28">
        <f>+BZ22/BZ10</f>
        <v>0.27142857142857146</v>
      </c>
      <c r="CA28" s="195">
        <f>+CA22/CA10</f>
        <v>6.8762278978389005E-2</v>
      </c>
      <c r="CC28" s="28">
        <f>+CC22/CC10</f>
        <v>-0.12096774193548386</v>
      </c>
      <c r="CD28" s="28">
        <f>+CD22/CD10</f>
        <v>5.6818181818181816E-2</v>
      </c>
      <c r="CE28" s="28">
        <f>+CE22/CE10</f>
        <v>9.8684210526315791E-2</v>
      </c>
      <c r="CF28" s="28">
        <f>+CF22/CF10</f>
        <v>0.35555555555555557</v>
      </c>
      <c r="CG28" s="195">
        <f>+CG22/CG10</f>
        <v>0.13293943870014771</v>
      </c>
      <c r="CH28"/>
      <c r="CI28" s="28">
        <f>+CI22/CI10+0.001</f>
        <v>-2.6586206896551726E-2</v>
      </c>
      <c r="CJ28" s="28">
        <f>+CJ22/CJ10-0.001</f>
        <v>0.21687709497206706</v>
      </c>
      <c r="CK28" s="28">
        <f>+CK22/CK10-0.001</f>
        <v>0.23253293413173654</v>
      </c>
      <c r="CL28" s="28">
        <f>+CL22/CL10</f>
        <v>0.28235294117647058</v>
      </c>
      <c r="CM28" s="195">
        <f>+CM22/CM10</f>
        <v>0.19571045576407511</v>
      </c>
    </row>
    <row r="29" spans="1:91" x14ac:dyDescent="0.2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55"/>
      <c r="BZ29" s="19"/>
      <c r="CA29" s="37"/>
      <c r="CC29" s="7"/>
      <c r="CD29" s="7"/>
      <c r="CE29" s="155"/>
      <c r="CF29" s="19"/>
      <c r="CG29" s="37"/>
      <c r="CI29" s="7"/>
      <c r="CJ29" s="7"/>
      <c r="CK29" s="155"/>
      <c r="CL29" s="19"/>
      <c r="CM29" s="37"/>
    </row>
    <row r="30" spans="1:91" x14ac:dyDescent="0.2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  <c r="CC30" s="7"/>
      <c r="CD30" s="7"/>
      <c r="CE30" s="31"/>
      <c r="CF30" s="19"/>
      <c r="CG30" s="37"/>
      <c r="CI30" s="7"/>
      <c r="CJ30" s="7"/>
      <c r="CK30" s="31"/>
      <c r="CL30" s="19"/>
      <c r="CM30" s="37"/>
    </row>
    <row r="31" spans="1:91" x14ac:dyDescent="0.2">
      <c r="A31" s="2" t="s">
        <v>146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22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22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22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22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22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22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22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22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22">
        <f>93.4-77.3</f>
        <v>16.100000000000009</v>
      </c>
      <c r="CA31" s="75">
        <f>SUM(BW31:BZ31)</f>
        <v>93.4</v>
      </c>
      <c r="CB31" s="31"/>
      <c r="CC31" s="31">
        <v>17.3</v>
      </c>
      <c r="CD31" s="31">
        <v>24.6</v>
      </c>
      <c r="CE31" s="31">
        <v>16.3</v>
      </c>
      <c r="CF31" s="122">
        <v>-17.399999999999999</v>
      </c>
      <c r="CG31" s="75">
        <f>SUM(CC31:CF31)</f>
        <v>40.800000000000004</v>
      </c>
      <c r="CH31" s="31"/>
      <c r="CI31" s="31">
        <v>0.6</v>
      </c>
      <c r="CJ31" s="31">
        <v>5.5</v>
      </c>
      <c r="CK31" s="31">
        <v>2</v>
      </c>
      <c r="CL31" s="122">
        <v>-5</v>
      </c>
      <c r="CM31" s="75">
        <f>SUM(CI31:CL31)</f>
        <v>3.0999999999999996</v>
      </c>
    </row>
    <row r="32" spans="1:91" x14ac:dyDescent="0.2">
      <c r="A32" s="2" t="s">
        <v>86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6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7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8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9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22">
        <v>10.872483221476509</v>
      </c>
      <c r="AE32" s="75">
        <f t="shared" ref="AE32:AE37" si="20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22">
        <v>14.093959731543624</v>
      </c>
      <c r="AK32" s="75">
        <f t="shared" ref="AK32:AK37" si="21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22">
        <v>23.355704697986578</v>
      </c>
      <c r="AQ32" s="75">
        <f t="shared" ref="AQ32:AQ37" si="22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22">
        <v>27.651006711409394</v>
      </c>
      <c r="AW32" s="75">
        <f t="shared" ref="AW32:AW37" si="23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22">
        <v>28.187919463087248</v>
      </c>
      <c r="BC32" s="75">
        <f t="shared" ref="BC32:BC37" si="24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22">
        <v>30.469798657718119</v>
      </c>
      <c r="BI32" s="75">
        <f t="shared" ref="BI32:BI37" si="25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22">
        <v>23.3</v>
      </c>
      <c r="BO32" s="75">
        <f t="shared" ref="BO32:BO37" si="26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22">
        <v>19.600000000000001</v>
      </c>
      <c r="BU32" s="75">
        <f t="shared" ref="BU32:BU37" si="27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22"/>
      <c r="CA32" s="75"/>
      <c r="CB32" s="31"/>
      <c r="CC32" s="31"/>
      <c r="CD32" s="31"/>
      <c r="CE32" s="31"/>
      <c r="CF32" s="122"/>
      <c r="CG32" s="75"/>
      <c r="CH32" s="31"/>
      <c r="CI32" s="31"/>
      <c r="CJ32" s="31"/>
      <c r="CK32" s="31"/>
      <c r="CL32" s="122"/>
      <c r="CM32" s="75"/>
    </row>
    <row r="33" spans="1:216" hidden="1" x14ac:dyDescent="0.2">
      <c r="A33" s="2" t="s">
        <v>28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6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7"/>
        <v>0</v>
      </c>
      <c r="N33" s="31"/>
      <c r="O33" s="31">
        <v>0</v>
      </c>
      <c r="P33" s="31">
        <v>0</v>
      </c>
      <c r="Q33" s="31">
        <v>0</v>
      </c>
      <c r="R33" s="31" t="s">
        <v>49</v>
      </c>
      <c r="S33" s="75">
        <f t="shared" si="18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9"/>
        <v>0</v>
      </c>
      <c r="Z33" s="31"/>
      <c r="AA33" s="31">
        <v>0</v>
      </c>
      <c r="AB33" s="31">
        <v>0</v>
      </c>
      <c r="AC33" s="31">
        <v>0</v>
      </c>
      <c r="AD33" s="122">
        <v>0</v>
      </c>
      <c r="AE33" s="75">
        <f t="shared" si="20"/>
        <v>0</v>
      </c>
      <c r="AF33" s="31"/>
      <c r="AG33" s="31">
        <v>0</v>
      </c>
      <c r="AH33" s="31">
        <v>0</v>
      </c>
      <c r="AI33" s="31">
        <v>0</v>
      </c>
      <c r="AJ33" s="122">
        <v>0</v>
      </c>
      <c r="AK33" s="75">
        <f t="shared" si="21"/>
        <v>0</v>
      </c>
      <c r="AL33" s="31"/>
      <c r="AM33" s="31">
        <v>0</v>
      </c>
      <c r="AN33" s="31">
        <v>0</v>
      </c>
      <c r="AO33" s="31">
        <v>0</v>
      </c>
      <c r="AP33" s="122">
        <v>0</v>
      </c>
      <c r="AQ33" s="75">
        <f t="shared" si="22"/>
        <v>0</v>
      </c>
      <c r="AR33" s="31"/>
      <c r="AS33" s="31">
        <v>0</v>
      </c>
      <c r="AT33" s="31">
        <v>0</v>
      </c>
      <c r="AU33" s="31">
        <v>0</v>
      </c>
      <c r="AV33" s="122">
        <v>0</v>
      </c>
      <c r="AW33" s="75">
        <f t="shared" si="23"/>
        <v>0</v>
      </c>
      <c r="AX33" s="31"/>
      <c r="AY33" s="31"/>
      <c r="AZ33" s="31"/>
      <c r="BA33" s="31"/>
      <c r="BB33" s="122"/>
      <c r="BC33" s="75">
        <f t="shared" si="24"/>
        <v>0</v>
      </c>
      <c r="BD33" s="31"/>
      <c r="BE33" s="31"/>
      <c r="BF33" s="31"/>
      <c r="BG33" s="31"/>
      <c r="BH33" s="122"/>
      <c r="BI33" s="75">
        <f t="shared" si="25"/>
        <v>0</v>
      </c>
      <c r="BJ33" s="31"/>
      <c r="BK33" s="31"/>
      <c r="BL33" s="31"/>
      <c r="BM33" s="31"/>
      <c r="BN33" s="122"/>
      <c r="BO33" s="75">
        <f t="shared" si="26"/>
        <v>0</v>
      </c>
      <c r="BP33" s="31"/>
      <c r="BQ33" s="31"/>
      <c r="BR33" s="31"/>
      <c r="BS33" s="31"/>
      <c r="BT33" s="122"/>
      <c r="BU33" s="75">
        <f t="shared" si="27"/>
        <v>0</v>
      </c>
      <c r="BV33" s="31"/>
      <c r="BW33" s="31"/>
      <c r="BX33" s="31"/>
      <c r="BY33" s="31"/>
      <c r="BZ33" s="122"/>
      <c r="CA33" s="75">
        <f t="shared" ref="CA33:CA36" si="28">SUM(BW33:BZ33)</f>
        <v>0</v>
      </c>
      <c r="CB33" s="31"/>
      <c r="CC33" s="31"/>
      <c r="CD33" s="31"/>
      <c r="CE33" s="31"/>
      <c r="CF33" s="122"/>
      <c r="CG33" s="75">
        <f t="shared" ref="CG33:CG37" si="29">SUM(CC33:CF33)</f>
        <v>0</v>
      </c>
      <c r="CH33" s="31"/>
      <c r="CI33" s="31"/>
      <c r="CJ33" s="31"/>
      <c r="CK33" s="31"/>
      <c r="CL33" s="122"/>
      <c r="CM33" s="75">
        <f t="shared" ref="CM33:CM37" si="30">SUM(CI33:CL33)</f>
        <v>0</v>
      </c>
    </row>
    <row r="34" spans="1:216" x14ac:dyDescent="0.2">
      <c r="A34" s="2" t="s">
        <v>76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6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7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8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9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22">
        <v>2.2818791946308723</v>
      </c>
      <c r="AE34" s="75">
        <f t="shared" si="20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22">
        <v>4.4295302013422821</v>
      </c>
      <c r="AK34" s="75">
        <f t="shared" si="21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22"/>
        <v>21.208053691275168</v>
      </c>
      <c r="AR34" s="31"/>
      <c r="AS34" s="136">
        <v>0</v>
      </c>
      <c r="AT34" s="136">
        <v>0</v>
      </c>
      <c r="AU34" s="31">
        <v>0</v>
      </c>
      <c r="AV34" s="122">
        <v>0</v>
      </c>
      <c r="AW34" s="75">
        <f t="shared" si="23"/>
        <v>0</v>
      </c>
      <c r="AX34" s="31"/>
      <c r="AY34" s="136"/>
      <c r="AZ34" s="136"/>
      <c r="BA34" s="31"/>
      <c r="BB34" s="122"/>
      <c r="BC34" s="75">
        <f t="shared" si="24"/>
        <v>0</v>
      </c>
      <c r="BD34" s="31"/>
      <c r="BE34" s="136"/>
      <c r="BF34" s="136"/>
      <c r="BG34" s="31"/>
      <c r="BH34" s="122"/>
      <c r="BI34" s="75">
        <f t="shared" si="25"/>
        <v>0</v>
      </c>
      <c r="BJ34" s="31"/>
      <c r="BK34" s="136"/>
      <c r="BL34" s="136"/>
      <c r="BM34" s="31"/>
      <c r="BN34" s="122"/>
      <c r="BO34" s="75">
        <f t="shared" si="26"/>
        <v>0</v>
      </c>
      <c r="BP34" s="31"/>
      <c r="BQ34" s="136"/>
      <c r="BR34" s="136"/>
      <c r="BS34" s="31"/>
      <c r="BT34" s="122"/>
      <c r="BU34" s="75">
        <f t="shared" si="27"/>
        <v>0</v>
      </c>
      <c r="BV34" s="31"/>
      <c r="BW34" s="136"/>
      <c r="BX34" s="136"/>
      <c r="BY34" s="31"/>
      <c r="BZ34" s="122"/>
      <c r="CA34" s="75">
        <f>SUM(BW34:BZ34)</f>
        <v>0</v>
      </c>
      <c r="CB34" s="31"/>
      <c r="CC34" s="136"/>
      <c r="CD34" s="136"/>
      <c r="CE34" s="31"/>
      <c r="CF34" s="122"/>
      <c r="CG34" s="75">
        <f t="shared" si="29"/>
        <v>0</v>
      </c>
      <c r="CH34" s="31"/>
      <c r="CI34" s="136"/>
      <c r="CJ34" s="136"/>
      <c r="CK34" s="31"/>
      <c r="CL34" s="122"/>
      <c r="CM34" s="75">
        <f t="shared" si="30"/>
        <v>0</v>
      </c>
    </row>
    <row r="35" spans="1:216" x14ac:dyDescent="0.2">
      <c r="A35" s="2" t="s">
        <v>144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6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7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8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9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22">
        <v>-0.26845637583892618</v>
      </c>
      <c r="AE35" s="75">
        <f t="shared" si="20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22">
        <v>0.26845637583892618</v>
      </c>
      <c r="AK35" s="75">
        <f t="shared" si="21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22">
        <v>0.93959731543624159</v>
      </c>
      <c r="AQ35" s="75">
        <f t="shared" si="22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22">
        <v>2.0134228187919461</v>
      </c>
      <c r="AW35" s="75">
        <f t="shared" si="23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22">
        <v>1.3422818791946309</v>
      </c>
      <c r="BC35" s="75">
        <f t="shared" si="24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22">
        <v>2.9530201342281877</v>
      </c>
      <c r="BI35" s="75">
        <f t="shared" si="25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22">
        <v>3</v>
      </c>
      <c r="BO35" s="75">
        <f t="shared" si="26"/>
        <v>3.6711409395973154</v>
      </c>
      <c r="BP35" s="31"/>
      <c r="BQ35" s="31">
        <v>-0.3</v>
      </c>
      <c r="BR35" s="31">
        <v>-0.3</v>
      </c>
      <c r="BS35" s="31">
        <v>0.9</v>
      </c>
      <c r="BT35" s="122">
        <v>6</v>
      </c>
      <c r="BU35" s="75">
        <f t="shared" si="27"/>
        <v>6.3</v>
      </c>
      <c r="BV35" s="31"/>
      <c r="BW35" s="31">
        <v>-2.1</v>
      </c>
      <c r="BX35" s="31">
        <v>0.7</v>
      </c>
      <c r="BY35" s="31">
        <v>-0.8</v>
      </c>
      <c r="BZ35" s="122">
        <f>3.5+2.2</f>
        <v>5.7</v>
      </c>
      <c r="CA35" s="75">
        <f>SUM(BW35:BZ35)</f>
        <v>3.5</v>
      </c>
      <c r="CB35" s="31"/>
      <c r="CC35" s="31">
        <v>-1.5</v>
      </c>
      <c r="CD35" s="31">
        <v>1</v>
      </c>
      <c r="CE35" s="31">
        <v>1.5</v>
      </c>
      <c r="CF35" s="122">
        <v>8</v>
      </c>
      <c r="CG35" s="75">
        <f t="shared" si="29"/>
        <v>9</v>
      </c>
      <c r="CH35" s="31"/>
      <c r="CI35" s="31">
        <v>-0.4</v>
      </c>
      <c r="CJ35" s="31">
        <v>3.9</v>
      </c>
      <c r="CK35" s="31">
        <v>3.9</v>
      </c>
      <c r="CL35" s="122">
        <v>7.2</v>
      </c>
      <c r="CM35" s="75">
        <f t="shared" si="30"/>
        <v>14.600000000000001</v>
      </c>
    </row>
    <row r="36" spans="1:216" hidden="1" x14ac:dyDescent="0.2">
      <c r="A36" s="2" t="s">
        <v>32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6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7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8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9"/>
        <v>0</v>
      </c>
      <c r="Z36" s="31"/>
      <c r="AA36" s="31">
        <v>0</v>
      </c>
      <c r="AB36" s="31">
        <v>0</v>
      </c>
      <c r="AC36" s="31">
        <v>0</v>
      </c>
      <c r="AD36" s="122">
        <v>0</v>
      </c>
      <c r="AE36" s="75">
        <f t="shared" si="20"/>
        <v>0</v>
      </c>
      <c r="AF36" s="31"/>
      <c r="AG36" s="31">
        <v>0</v>
      </c>
      <c r="AH36" s="31">
        <v>0</v>
      </c>
      <c r="AI36" s="31">
        <v>0</v>
      </c>
      <c r="AJ36" s="122">
        <v>0</v>
      </c>
      <c r="AK36" s="75">
        <f t="shared" si="21"/>
        <v>0</v>
      </c>
      <c r="AL36" s="31"/>
      <c r="AM36" s="31">
        <v>0</v>
      </c>
      <c r="AN36" s="31">
        <v>0</v>
      </c>
      <c r="AO36" s="31">
        <v>0</v>
      </c>
      <c r="AP36" s="122">
        <v>0</v>
      </c>
      <c r="AQ36" s="75">
        <f t="shared" si="22"/>
        <v>0</v>
      </c>
      <c r="AR36" s="31"/>
      <c r="AS36" s="31">
        <v>0</v>
      </c>
      <c r="AT36" s="31">
        <v>0</v>
      </c>
      <c r="AU36" s="31">
        <v>0</v>
      </c>
      <c r="AV36" s="122">
        <v>0</v>
      </c>
      <c r="AW36" s="75">
        <f t="shared" si="23"/>
        <v>0</v>
      </c>
      <c r="AX36" s="31"/>
      <c r="AY36" s="31">
        <v>0</v>
      </c>
      <c r="AZ36" s="31">
        <v>0</v>
      </c>
      <c r="BA36" s="31">
        <v>0</v>
      </c>
      <c r="BB36" s="122">
        <v>0</v>
      </c>
      <c r="BC36" s="75">
        <f t="shared" si="24"/>
        <v>0</v>
      </c>
      <c r="BD36" s="31"/>
      <c r="BE36" s="31">
        <v>0</v>
      </c>
      <c r="BF36" s="31">
        <v>0</v>
      </c>
      <c r="BG36" s="31">
        <v>0</v>
      </c>
      <c r="BH36" s="122">
        <v>0</v>
      </c>
      <c r="BI36" s="75">
        <f t="shared" si="25"/>
        <v>0</v>
      </c>
      <c r="BJ36" s="31"/>
      <c r="BK36" s="31">
        <v>0</v>
      </c>
      <c r="BL36" s="31">
        <v>0</v>
      </c>
      <c r="BM36" s="31">
        <v>0</v>
      </c>
      <c r="BN36" s="122"/>
      <c r="BO36" s="75">
        <f t="shared" si="26"/>
        <v>0</v>
      </c>
      <c r="BP36" s="31"/>
      <c r="BQ36" s="31">
        <v>0</v>
      </c>
      <c r="BR36" s="31"/>
      <c r="BS36" s="31"/>
      <c r="BT36" s="122"/>
      <c r="BU36" s="75">
        <f t="shared" si="27"/>
        <v>0</v>
      </c>
      <c r="BV36" s="31"/>
      <c r="BW36" s="31">
        <v>0</v>
      </c>
      <c r="BX36" s="31"/>
      <c r="BY36" s="31"/>
      <c r="BZ36" s="122"/>
      <c r="CA36" s="75">
        <f t="shared" si="28"/>
        <v>0</v>
      </c>
      <c r="CB36" s="31"/>
      <c r="CC36" s="31">
        <v>0</v>
      </c>
      <c r="CD36" s="31"/>
      <c r="CE36" s="31"/>
      <c r="CF36" s="122"/>
      <c r="CG36" s="75">
        <f t="shared" si="29"/>
        <v>0</v>
      </c>
      <c r="CH36" s="31"/>
      <c r="CI36" s="31">
        <v>0</v>
      </c>
      <c r="CJ36" s="31"/>
      <c r="CK36" s="31"/>
      <c r="CL36" s="122"/>
      <c r="CM36" s="75">
        <f t="shared" si="30"/>
        <v>0</v>
      </c>
    </row>
    <row r="37" spans="1:216" x14ac:dyDescent="0.2">
      <c r="A37" s="2" t="s">
        <v>52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6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7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8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9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22">
        <v>0.40268456375838924</v>
      </c>
      <c r="AE37" s="75">
        <f t="shared" si="20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22">
        <v>-1.0738255033557047</v>
      </c>
      <c r="AK37" s="75">
        <f t="shared" si="21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22">
        <v>-1.0738255033557047</v>
      </c>
      <c r="AQ37" s="75">
        <f t="shared" si="22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22">
        <v>-1.4765100671140938</v>
      </c>
      <c r="AW37" s="75">
        <f t="shared" si="23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22">
        <v>-1.3422818791946309</v>
      </c>
      <c r="BC37" s="75">
        <f t="shared" si="24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22">
        <v>-1.7449664429530201</v>
      </c>
      <c r="BI37" s="75">
        <f t="shared" si="25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22">
        <v>-0.6</v>
      </c>
      <c r="BO37" s="75">
        <f t="shared" si="26"/>
        <v>-3.4187919463087248</v>
      </c>
      <c r="BP37" s="31"/>
      <c r="BQ37" s="31">
        <v>-0.7</v>
      </c>
      <c r="BR37" s="31">
        <v>-0.8</v>
      </c>
      <c r="BS37" s="31">
        <v>-0.6</v>
      </c>
      <c r="BT37" s="122">
        <v>-2.5</v>
      </c>
      <c r="BU37" s="75">
        <f t="shared" si="27"/>
        <v>-4.5999999999999996</v>
      </c>
      <c r="BV37" s="31"/>
      <c r="BW37" s="31">
        <v>0</v>
      </c>
      <c r="BX37" s="31">
        <v>0</v>
      </c>
      <c r="BY37" s="31">
        <v>0</v>
      </c>
      <c r="BZ37" s="122">
        <v>0</v>
      </c>
      <c r="CA37" s="75">
        <f>SUM(BW37:BZ37)</f>
        <v>0</v>
      </c>
      <c r="CB37" s="31"/>
      <c r="CC37" s="31">
        <v>0</v>
      </c>
      <c r="CD37" s="31">
        <v>0</v>
      </c>
      <c r="CE37" s="31">
        <v>0</v>
      </c>
      <c r="CF37" s="122">
        <v>0</v>
      </c>
      <c r="CG37" s="75">
        <f t="shared" si="29"/>
        <v>0</v>
      </c>
      <c r="CH37" s="31"/>
      <c r="CI37" s="31">
        <v>0</v>
      </c>
      <c r="CJ37" s="31">
        <v>0</v>
      </c>
      <c r="CK37" s="31">
        <v>0</v>
      </c>
      <c r="CL37" s="122"/>
      <c r="CM37" s="75">
        <f t="shared" si="30"/>
        <v>0</v>
      </c>
    </row>
    <row r="38" spans="1:216" s="56" customFormat="1" ht="18.75" customHeight="1" x14ac:dyDescent="0.2">
      <c r="C38" s="123">
        <f>SUM(C30:C37)</f>
        <v>16.778523489932883</v>
      </c>
      <c r="D38" s="123">
        <f>SUM(D30:D37)</f>
        <v>23.355704697986578</v>
      </c>
      <c r="E38" s="123">
        <f>SUM(E30:E37)</f>
        <v>25.503355704697988</v>
      </c>
      <c r="F38" s="123">
        <f>SUM(F30:F37)</f>
        <v>30.067114093959734</v>
      </c>
      <c r="G38" s="124">
        <f>SUM(G30:G37)</f>
        <v>95.704697986577173</v>
      </c>
      <c r="H38" s="123"/>
      <c r="I38" s="123">
        <f>SUM(I30:I37)</f>
        <v>23.624161073825501</v>
      </c>
      <c r="J38" s="123">
        <f>SUM(J30:J37)</f>
        <v>50.067114093959731</v>
      </c>
      <c r="K38" s="123">
        <f>SUM(K30:K37)</f>
        <v>34.228187919463082</v>
      </c>
      <c r="L38" s="123">
        <f>SUM(L30:L37)</f>
        <v>29.261744966442951</v>
      </c>
      <c r="M38" s="124">
        <f>SUM(M30:M37)</f>
        <v>137.18120805369128</v>
      </c>
      <c r="N38" s="123"/>
      <c r="O38" s="123">
        <f>SUM(O30:O37)</f>
        <v>34.362416107382543</v>
      </c>
      <c r="P38" s="123">
        <f>SUM(P30:P37)</f>
        <v>53.288590604026858</v>
      </c>
      <c r="Q38" s="123">
        <f>SUM(Q30:Q37)</f>
        <v>44.697986577181197</v>
      </c>
      <c r="R38" s="123">
        <f>SUM(R30:R37)</f>
        <v>59.999999999999993</v>
      </c>
      <c r="S38" s="124">
        <f>SUM(S30:S37)</f>
        <v>192.34899328859058</v>
      </c>
      <c r="T38" s="123"/>
      <c r="U38" s="123">
        <f>SUM(U30:U37)</f>
        <v>40.939597315436245</v>
      </c>
      <c r="V38" s="123">
        <f>SUM(V30:V37)</f>
        <v>61.879194630872483</v>
      </c>
      <c r="W38" s="123">
        <f>SUM(W30:W37)</f>
        <v>44.161073825503351</v>
      </c>
      <c r="X38" s="123">
        <f>SUM(X30:X37)</f>
        <v>16.510067114093957</v>
      </c>
      <c r="Y38" s="124">
        <f>SUM(Y30:Y37)</f>
        <v>163.48993288590603</v>
      </c>
      <c r="Z38" s="123"/>
      <c r="AA38" s="123">
        <f>SUM(AA30:AA37)</f>
        <v>17.046979865771814</v>
      </c>
      <c r="AB38" s="123">
        <f>SUM(AB30:AB37)</f>
        <v>31.812080536912749</v>
      </c>
      <c r="AC38" s="123">
        <f>SUM(AC30:AC37)</f>
        <v>30.201342281879189</v>
      </c>
      <c r="AD38" s="123">
        <f>SUM(AD30:AD37)</f>
        <v>26.040268456375834</v>
      </c>
      <c r="AE38" s="124">
        <f>SUM(AE30:AE37)</f>
        <v>105.1006711409396</v>
      </c>
      <c r="AF38" s="123"/>
      <c r="AG38" s="123">
        <f>SUM(AG30:AG37)</f>
        <v>28.590604026845636</v>
      </c>
      <c r="AH38" s="123">
        <f>SUM(AH30:AH37)</f>
        <v>34.630872483221474</v>
      </c>
      <c r="AI38" s="123">
        <f>SUM(AI30:AI37)</f>
        <v>33.557046979865774</v>
      </c>
      <c r="AJ38" s="123">
        <f>SUM(AJ30:AJ37)</f>
        <v>23.892617449664431</v>
      </c>
      <c r="AK38" s="124">
        <f>SUM(AK30:AK37)</f>
        <v>120.67114093959731</v>
      </c>
      <c r="AL38" s="123"/>
      <c r="AM38" s="123">
        <f>SUM(AM30:AM37)</f>
        <v>28.993288590604028</v>
      </c>
      <c r="AN38" s="123">
        <f>SUM(AN30:AN37)</f>
        <v>28.187919463087251</v>
      </c>
      <c r="AO38" s="123">
        <f>SUM(AO30:AO37)</f>
        <v>41.879194630872483</v>
      </c>
      <c r="AP38" s="123">
        <f>SUM(AP30:AP37)</f>
        <v>35.570469798657712</v>
      </c>
      <c r="AQ38" s="124">
        <f>SUM(AQ30:AQ37)</f>
        <v>134.63087248322148</v>
      </c>
      <c r="AR38" s="123"/>
      <c r="AS38" s="123">
        <f>SUM(AS30:AS37)</f>
        <v>30.604026845637588</v>
      </c>
      <c r="AT38" s="123">
        <f>SUM(AT30:AT37)</f>
        <v>30.738255033557046</v>
      </c>
      <c r="AU38" s="123">
        <f>SUM(AU30:AU37)</f>
        <v>32.080536912751683</v>
      </c>
      <c r="AV38" s="123">
        <f>SUM(AV30:AV37)</f>
        <v>42.013422818791945</v>
      </c>
      <c r="AW38" s="124">
        <f>SUM(AW30:AW37)</f>
        <v>135.43624161073825</v>
      </c>
      <c r="AX38" s="123"/>
      <c r="AY38" s="123">
        <f>SUM(AY30:AY37)</f>
        <v>29.127516778523493</v>
      </c>
      <c r="AZ38" s="123">
        <f>SUM(AZ30:AZ37)</f>
        <v>37.449664429530202</v>
      </c>
      <c r="BA38" s="123">
        <f>SUM(BA30:BA37)</f>
        <v>32.348993288590606</v>
      </c>
      <c r="BB38" s="123">
        <f>SUM(BB30:BB37)</f>
        <v>49.127516778523486</v>
      </c>
      <c r="BC38" s="124">
        <f>SUM(BC30:BC37)</f>
        <v>148.05369127516778</v>
      </c>
      <c r="BD38" s="123"/>
      <c r="BE38" s="123">
        <f>SUM(BE30:BE37)</f>
        <v>39.73154362416107</v>
      </c>
      <c r="BF38" s="123">
        <f>SUM(BF30:BF37)</f>
        <v>29.798657718120804</v>
      </c>
      <c r="BG38" s="123">
        <f>SUM(BG30:BG37)</f>
        <v>30.33557046979865</v>
      </c>
      <c r="BH38" s="123">
        <f>SUM(BH30:BH37)</f>
        <v>42.550335570469798</v>
      </c>
      <c r="BI38" s="124">
        <f>SUM(BI30:BI37)</f>
        <v>142.41610738255031</v>
      </c>
      <c r="BJ38" s="123"/>
      <c r="BK38" s="123">
        <f>SUM(BK30:BK37)</f>
        <v>32.885906040268459</v>
      </c>
      <c r="BL38" s="123">
        <f>SUM(BL30:BL37)</f>
        <v>54.630872483221474</v>
      </c>
      <c r="BM38" s="123">
        <f>SUM(BM30:BM37)</f>
        <v>32.214765100671144</v>
      </c>
      <c r="BN38" s="123">
        <f>SUM(BN30:BN37)</f>
        <v>32.299999999999997</v>
      </c>
      <c r="BO38" s="124">
        <f>SUM(BO30:BO37)</f>
        <v>152.03154362416109</v>
      </c>
      <c r="BP38" s="123"/>
      <c r="BQ38" s="123">
        <f>SUM(BQ30:BQ37)</f>
        <v>35.900999999999996</v>
      </c>
      <c r="BR38" s="123">
        <f>SUM(BR30:BR37)</f>
        <v>50.800000000000004</v>
      </c>
      <c r="BS38" s="123">
        <f>SUM(BS30:BS37)</f>
        <v>6.2000000000000011</v>
      </c>
      <c r="BT38" s="123">
        <f>SUM(BT30:BT37)</f>
        <v>31.799999999999997</v>
      </c>
      <c r="BU38" s="124">
        <f>SUM(BU30:BU37)</f>
        <v>124.70099999999999</v>
      </c>
      <c r="BV38" s="123"/>
      <c r="BW38" s="123">
        <f>SUM(BW30:BW37)</f>
        <v>32</v>
      </c>
      <c r="BX38" s="123">
        <f>SUM(BX30:BX37)</f>
        <v>71.7</v>
      </c>
      <c r="BY38" s="123">
        <f>SUM(BY30:BY37)</f>
        <v>54.6</v>
      </c>
      <c r="BZ38" s="123">
        <f>SUM(BZ30:BZ37)</f>
        <v>21.800000000000008</v>
      </c>
      <c r="CA38" s="124">
        <f>SUM(CA30:CA37)</f>
        <v>96.9</v>
      </c>
      <c r="CB38" s="123"/>
      <c r="CC38" s="123">
        <f>SUM(CC30:CC37)</f>
        <v>15.8</v>
      </c>
      <c r="CD38" s="123">
        <f>SUM(CD30:CD37)</f>
        <v>25.6</v>
      </c>
      <c r="CE38" s="123">
        <f>SUM(CE30:CE37)</f>
        <v>17.8</v>
      </c>
      <c r="CF38" s="123">
        <f>SUM(CF30:CF37)</f>
        <v>-9.3999999999999986</v>
      </c>
      <c r="CG38" s="124">
        <f>SUM(CG30:CG37)</f>
        <v>49.800000000000004</v>
      </c>
      <c r="CH38" s="123"/>
      <c r="CI38" s="123">
        <f>SUM(CI30:CI37)</f>
        <v>0.19999999999999996</v>
      </c>
      <c r="CJ38" s="123">
        <f>SUM(CJ30:CJ37)</f>
        <v>9.4</v>
      </c>
      <c r="CK38" s="123">
        <f>SUM(CK30:CK37)</f>
        <v>5.9</v>
      </c>
      <c r="CL38" s="123">
        <f>SUM(CL30:CL37)</f>
        <v>2.2000000000000002</v>
      </c>
      <c r="CM38" s="124">
        <f>SUM(CM30:CM37)</f>
        <v>17.700000000000003</v>
      </c>
    </row>
    <row r="39" spans="1:216" s="63" customFormat="1" ht="18.75" customHeight="1" x14ac:dyDescent="0.2">
      <c r="A39" s="63" t="s">
        <v>33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  <c r="CC39" s="67">
        <f>CC38/CC13</f>
        <v>4.3466299862448418E-2</v>
      </c>
      <c r="CD39" s="67">
        <f>CD38/CD13</f>
        <v>6.02778431834236E-2</v>
      </c>
      <c r="CE39" s="67">
        <f>CE38/CE13</f>
        <v>4.6621267679413304E-2</v>
      </c>
      <c r="CF39" s="67">
        <f>CF38/CF13</f>
        <v>-2.8347406513872134E-2</v>
      </c>
      <c r="CG39" s="68">
        <f>CG38/CG13</f>
        <v>3.3164624400639324E-2</v>
      </c>
      <c r="CI39" s="67">
        <f>CI38/CI13</f>
        <v>6.7957866123003721E-4</v>
      </c>
      <c r="CJ39" s="67">
        <f>CJ38/CJ13</f>
        <v>2.6449071468767588E-2</v>
      </c>
      <c r="CK39" s="67">
        <f>CK38/CK13</f>
        <v>1.8137104211497081E-2</v>
      </c>
      <c r="CL39" s="67">
        <f>CL38/CL13</f>
        <v>5.9880239520958096E-3</v>
      </c>
      <c r="CM39" s="68">
        <f>CM38/CM13</f>
        <v>1.3185339690107274E-2</v>
      </c>
    </row>
    <row r="40" spans="1:216" s="5" customFormat="1" ht="18.75" customHeight="1" x14ac:dyDescent="0.2">
      <c r="A40" s="5" t="s">
        <v>150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CC40" s="28">
        <f>CC31/CC6</f>
        <v>4.9273711193392196E-2</v>
      </c>
      <c r="CD40" s="28">
        <f>CD31/CD6</f>
        <v>6.0412573673870339E-2</v>
      </c>
      <c r="CE40" s="28">
        <f>CE31/CE6</f>
        <v>4.4414168937329704E-2</v>
      </c>
      <c r="CF40" s="28">
        <f>CF31/CF6</f>
        <v>-5.6256062075654707E-2</v>
      </c>
      <c r="CG40" s="64">
        <f>CG31/CG6</f>
        <v>2.8439983270598081E-2</v>
      </c>
      <c r="CI40" s="28">
        <f>CI31/CI6</f>
        <v>2.1443888491779841E-3</v>
      </c>
      <c r="CJ40" s="28">
        <f>CJ31/CJ6</f>
        <v>1.6281823564239194E-2</v>
      </c>
      <c r="CK40" s="28">
        <f>CK31/CK6</f>
        <v>6.4808813998703816E-3</v>
      </c>
      <c r="CL40" s="28">
        <f>CL31/CL6</f>
        <v>-1.4619883040935672E-2</v>
      </c>
      <c r="CM40" s="64">
        <f>CM31/CM6</f>
        <v>2.444409399148399E-3</v>
      </c>
      <c r="HH40" s="27"/>
    </row>
    <row r="41" spans="1:216" s="5" customFormat="1" ht="18.75" customHeight="1" x14ac:dyDescent="0.2">
      <c r="A41" s="5" t="s">
        <v>151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CC41" s="28">
        <f>+CC31/CC15</f>
        <v>6.7976424361493121E-2</v>
      </c>
      <c r="CD41" s="28">
        <f>+CD31/CD15</f>
        <v>8.028720626631855E-2</v>
      </c>
      <c r="CE41" s="28">
        <f>+CE31/CE15</f>
        <v>5.6814220982920882E-2</v>
      </c>
      <c r="CF41" s="28">
        <f>+CF31/CF15</f>
        <v>-7.4903142488161864E-2</v>
      </c>
      <c r="CG41" s="64">
        <f>CG31/CG15</f>
        <v>3.7774280159244521E-2</v>
      </c>
      <c r="CI41" s="28">
        <f>+CI31/CI15</f>
        <v>2.9211295034079843E-3</v>
      </c>
      <c r="CJ41" s="28">
        <f>+CJ31/CJ15</f>
        <v>2.2448979591836733E-2</v>
      </c>
      <c r="CK41" s="28">
        <f>+CK31/CK15</f>
        <v>8.6058519793459545E-3</v>
      </c>
      <c r="CL41" s="28">
        <f>+CL31/CL15</f>
        <v>-1.9069412662090009E-2</v>
      </c>
      <c r="CM41" s="64">
        <f>CM31/CM15</f>
        <v>3.2804232804232798E-3</v>
      </c>
      <c r="HH41" s="27"/>
    </row>
    <row r="42" spans="1:216" s="5" customFormat="1" ht="18.75" customHeight="1" x14ac:dyDescent="0.2">
      <c r="A42" s="5" t="s">
        <v>84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CC42" s="28"/>
      <c r="CD42" s="28"/>
      <c r="CE42" s="28"/>
      <c r="CF42" s="28"/>
      <c r="CG42" s="64"/>
      <c r="CI42" s="28"/>
      <c r="CJ42" s="28"/>
      <c r="CK42" s="28"/>
      <c r="CL42" s="28"/>
      <c r="CM42" s="64"/>
      <c r="HH42" s="27"/>
    </row>
    <row r="43" spans="1:216" s="1" customFormat="1" ht="18.75" hidden="1" customHeight="1" x14ac:dyDescent="0.2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CG43" s="36"/>
      <c r="CM43" s="36"/>
      <c r="HH43" s="4"/>
    </row>
    <row r="44" spans="1:216" hidden="1" x14ac:dyDescent="0.2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  <c r="CG44" s="54"/>
      <c r="CM44" s="54"/>
    </row>
    <row r="45" spans="1:216" hidden="1" x14ac:dyDescent="0.2">
      <c r="A45" s="2" t="s">
        <v>73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  <c r="CG45" s="54"/>
      <c r="CM45" s="54"/>
    </row>
    <row r="46" spans="1:216" hidden="1" x14ac:dyDescent="0.2">
      <c r="A46" s="2" t="s">
        <v>27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  <c r="CG46" s="54"/>
      <c r="CM46" s="54"/>
    </row>
    <row r="47" spans="1:216" hidden="1" x14ac:dyDescent="0.2">
      <c r="A47" s="2" t="s">
        <v>28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  <c r="CG47" s="54"/>
      <c r="CM47" s="54"/>
    </row>
    <row r="48" spans="1:216" hidden="1" x14ac:dyDescent="0.2">
      <c r="A48" s="2" t="s">
        <v>29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  <c r="CG48" s="54"/>
      <c r="CM48" s="54"/>
    </row>
    <row r="49" spans="1:216" hidden="1" x14ac:dyDescent="0.2">
      <c r="A49" s="2" t="s">
        <v>72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  <c r="CG49" s="54"/>
      <c r="CM49" s="54"/>
    </row>
    <row r="50" spans="1:216" hidden="1" x14ac:dyDescent="0.2">
      <c r="A50" s="2" t="s">
        <v>32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  <c r="CG50" s="54"/>
      <c r="CM50" s="54"/>
    </row>
    <row r="51" spans="1:216" hidden="1" x14ac:dyDescent="0.2">
      <c r="A51" s="2" t="s">
        <v>30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  <c r="CG51" s="54"/>
      <c r="CM51" s="54"/>
    </row>
    <row r="52" spans="1:216" s="5" customFormat="1" ht="18.75" hidden="1" customHeight="1" x14ac:dyDescent="0.2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CG52" s="36"/>
      <c r="CM52" s="36"/>
      <c r="HH52" s="26"/>
    </row>
    <row r="53" spans="1:216" s="5" customFormat="1" ht="18.75" hidden="1" customHeight="1" x14ac:dyDescent="0.2">
      <c r="A53" s="5" t="s">
        <v>42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CG53" s="36"/>
      <c r="CM53" s="36"/>
      <c r="HH53" s="27"/>
    </row>
    <row r="54" spans="1:216" s="5" customFormat="1" ht="18.75" hidden="1" customHeight="1" x14ac:dyDescent="0.2">
      <c r="A54" s="5" t="s">
        <v>53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CG54" s="36"/>
      <c r="CM54" s="36"/>
      <c r="HH54" s="27"/>
    </row>
    <row r="55" spans="1:216" s="5" customFormat="1" ht="18.75" hidden="1" customHeight="1" x14ac:dyDescent="0.2">
      <c r="A55" s="5" t="s">
        <v>54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CG55" s="36"/>
      <c r="CM55" s="36"/>
      <c r="HH55" s="27"/>
    </row>
    <row r="56" spans="1:216" s="5" customFormat="1" ht="18.75" hidden="1" customHeight="1" x14ac:dyDescent="0.2">
      <c r="A56" s="5" t="s">
        <v>34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CG56" s="36"/>
      <c r="CM56" s="36"/>
      <c r="HH56" s="27"/>
    </row>
    <row r="57" spans="1:216" s="1" customFormat="1" ht="18.75" hidden="1" customHeight="1" x14ac:dyDescent="0.2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CG57" s="36"/>
      <c r="CM57" s="36"/>
      <c r="HH57" s="4"/>
    </row>
    <row r="58" spans="1:216" s="1" customFormat="1" ht="18.75" hidden="1" customHeight="1" x14ac:dyDescent="0.2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CG58" s="36"/>
      <c r="CM58" s="36"/>
      <c r="HH58" s="4"/>
    </row>
    <row r="59" spans="1:216" x14ac:dyDescent="0.2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  <c r="CG59" s="54"/>
      <c r="CM59" s="54"/>
    </row>
    <row r="60" spans="1:216" x14ac:dyDescent="0.2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  <c r="CC60" s="7"/>
      <c r="CD60" s="7"/>
      <c r="CE60" s="7"/>
      <c r="CF60" s="7"/>
      <c r="CG60" s="37"/>
      <c r="CI60" s="7"/>
      <c r="CJ60" s="7"/>
      <c r="CK60" s="7"/>
      <c r="CL60" s="7"/>
      <c r="CM60" s="37"/>
    </row>
    <row r="61" spans="1:216" x14ac:dyDescent="0.2">
      <c r="A61" s="2" t="s">
        <v>146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22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22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22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22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22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22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22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22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22">
        <f>19-25.3</f>
        <v>-6.3000000000000007</v>
      </c>
      <c r="CA61" s="75">
        <f>SUM(BW61:BZ61)</f>
        <v>19</v>
      </c>
      <c r="CB61" s="31"/>
      <c r="CC61" s="31">
        <v>-2.5</v>
      </c>
      <c r="CD61" s="31">
        <v>5.3</v>
      </c>
      <c r="CE61" s="31">
        <v>-3</v>
      </c>
      <c r="CF61" s="122">
        <v>-38.4</v>
      </c>
      <c r="CG61" s="75">
        <f>SUM(CC61:CF61)</f>
        <v>-38.6</v>
      </c>
      <c r="CH61" s="31"/>
      <c r="CI61" s="31">
        <v>-20</v>
      </c>
      <c r="CJ61" s="31">
        <v>-14.8</v>
      </c>
      <c r="CK61" s="31">
        <v>-18.8</v>
      </c>
      <c r="CL61" s="122">
        <v>-45.7</v>
      </c>
      <c r="CM61" s="75">
        <f>SUM(CI61:CL61)</f>
        <v>-99.3</v>
      </c>
    </row>
    <row r="62" spans="1:216" x14ac:dyDescent="0.2">
      <c r="A62" s="2" t="s">
        <v>86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31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32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33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34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22">
        <v>5.2348993288590604</v>
      </c>
      <c r="AE62" s="75">
        <f t="shared" ref="AE62:AE67" si="35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22">
        <v>6.8456375838926169</v>
      </c>
      <c r="AK62" s="75">
        <f t="shared" ref="AK62:AK67" si="36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22">
        <v>15.570469798657717</v>
      </c>
      <c r="AQ62" s="75">
        <f t="shared" ref="AQ62:AQ67" si="37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22">
        <v>19.597315436241612</v>
      </c>
      <c r="AW62" s="75">
        <f t="shared" ref="AW62:AW67" si="38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22">
        <v>20.671140939597315</v>
      </c>
      <c r="BC62" s="75">
        <f t="shared" ref="BC62:BC67" si="39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22">
        <v>22.14765100671141</v>
      </c>
      <c r="BI62" s="75">
        <f t="shared" ref="BI62:BI67" si="40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22">
        <v>13.9</v>
      </c>
      <c r="BO62" s="75">
        <f t="shared" ref="BO62:BO67" si="41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22">
        <v>12.9</v>
      </c>
      <c r="BU62" s="75">
        <f t="shared" ref="BU62:BU67" si="42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22"/>
      <c r="CA62" s="75"/>
      <c r="CB62" s="31"/>
      <c r="CC62" s="31"/>
      <c r="CD62" s="31"/>
      <c r="CE62" s="31"/>
      <c r="CF62" s="122"/>
      <c r="CG62" s="75"/>
      <c r="CH62" s="31"/>
      <c r="CI62" s="31"/>
      <c r="CJ62" s="31"/>
      <c r="CK62" s="31"/>
      <c r="CL62" s="122"/>
      <c r="CM62" s="75"/>
    </row>
    <row r="63" spans="1:216" hidden="1" x14ac:dyDescent="0.2">
      <c r="A63" s="2" t="s">
        <v>28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31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32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33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34"/>
        <v>0</v>
      </c>
      <c r="Z63" s="31"/>
      <c r="AA63" s="31">
        <v>0</v>
      </c>
      <c r="AB63" s="31">
        <v>0</v>
      </c>
      <c r="AC63" s="31">
        <v>0</v>
      </c>
      <c r="AD63" s="122">
        <v>0</v>
      </c>
      <c r="AE63" s="75">
        <f t="shared" si="35"/>
        <v>0</v>
      </c>
      <c r="AF63" s="31"/>
      <c r="AG63" s="31">
        <v>0</v>
      </c>
      <c r="AH63" s="31">
        <v>0</v>
      </c>
      <c r="AI63" s="31">
        <v>0</v>
      </c>
      <c r="AJ63" s="122">
        <v>0</v>
      </c>
      <c r="AK63" s="75">
        <f t="shared" si="36"/>
        <v>0</v>
      </c>
      <c r="AL63" s="31"/>
      <c r="AM63" s="31">
        <v>0</v>
      </c>
      <c r="AN63" s="31">
        <v>0</v>
      </c>
      <c r="AO63" s="31">
        <v>0</v>
      </c>
      <c r="AP63" s="122">
        <v>0</v>
      </c>
      <c r="AQ63" s="75">
        <f t="shared" si="37"/>
        <v>0</v>
      </c>
      <c r="AR63" s="31"/>
      <c r="AS63" s="31">
        <v>0</v>
      </c>
      <c r="AT63" s="31">
        <v>0</v>
      </c>
      <c r="AU63" s="31">
        <v>0</v>
      </c>
      <c r="AV63" s="122">
        <v>0</v>
      </c>
      <c r="AW63" s="75">
        <f t="shared" si="38"/>
        <v>0</v>
      </c>
      <c r="AX63" s="31"/>
      <c r="AY63" s="31"/>
      <c r="AZ63" s="31"/>
      <c r="BA63" s="31"/>
      <c r="BB63" s="122"/>
      <c r="BC63" s="75">
        <f t="shared" si="39"/>
        <v>0</v>
      </c>
      <c r="BD63" s="31"/>
      <c r="BE63" s="31"/>
      <c r="BF63" s="31"/>
      <c r="BG63" s="31"/>
      <c r="BH63" s="122"/>
      <c r="BI63" s="75">
        <f t="shared" si="40"/>
        <v>0</v>
      </c>
      <c r="BJ63" s="31"/>
      <c r="BK63" s="31"/>
      <c r="BL63" s="31"/>
      <c r="BM63" s="31"/>
      <c r="BN63" s="122"/>
      <c r="BO63" s="75">
        <f t="shared" si="41"/>
        <v>0</v>
      </c>
      <c r="BP63" s="31"/>
      <c r="BQ63" s="31"/>
      <c r="BR63" s="31"/>
      <c r="BS63" s="31"/>
      <c r="BT63" s="122"/>
      <c r="BU63" s="75">
        <f t="shared" si="42"/>
        <v>0</v>
      </c>
      <c r="BV63" s="31"/>
      <c r="BW63" s="31"/>
      <c r="BX63" s="31"/>
      <c r="BY63" s="31"/>
      <c r="BZ63" s="122"/>
      <c r="CA63" s="75">
        <f t="shared" ref="CA63:CA67" si="43">SUM(BW63:BZ63)</f>
        <v>0</v>
      </c>
      <c r="CB63" s="31"/>
      <c r="CC63" s="31"/>
      <c r="CD63" s="31"/>
      <c r="CE63" s="31"/>
      <c r="CF63" s="122"/>
      <c r="CG63" s="75">
        <f t="shared" ref="CG63:CG67" si="44">SUM(CC63:CF63)</f>
        <v>0</v>
      </c>
      <c r="CH63" s="31"/>
      <c r="CI63" s="31"/>
      <c r="CJ63" s="31"/>
      <c r="CK63" s="31"/>
      <c r="CL63" s="122"/>
      <c r="CM63" s="75">
        <f t="shared" ref="CM63:CM67" si="45">SUM(CI63:CL63)</f>
        <v>0</v>
      </c>
    </row>
    <row r="64" spans="1:216" x14ac:dyDescent="0.2">
      <c r="A64" s="2" t="s">
        <v>76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31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32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33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34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22">
        <v>2.2818791946308723</v>
      </c>
      <c r="AE64" s="75">
        <f t="shared" si="35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22">
        <v>4.4295302013422821</v>
      </c>
      <c r="AK64" s="75">
        <f t="shared" si="36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22">
        <v>2.5503355704697985</v>
      </c>
      <c r="AQ64" s="75">
        <f t="shared" si="37"/>
        <v>21.208053691275168</v>
      </c>
      <c r="AR64" s="31"/>
      <c r="AS64" s="136">
        <v>0</v>
      </c>
      <c r="AT64" s="136">
        <v>0</v>
      </c>
      <c r="AU64" s="31">
        <v>0</v>
      </c>
      <c r="AV64" s="122">
        <v>0</v>
      </c>
      <c r="AW64" s="75">
        <f t="shared" si="38"/>
        <v>0</v>
      </c>
      <c r="AX64" s="31"/>
      <c r="AY64" s="136"/>
      <c r="AZ64" s="136"/>
      <c r="BA64" s="31"/>
      <c r="BB64" s="122"/>
      <c r="BC64" s="75">
        <f t="shared" si="39"/>
        <v>0</v>
      </c>
      <c r="BD64" s="31"/>
      <c r="BE64" s="136"/>
      <c r="BF64" s="136"/>
      <c r="BG64" s="31"/>
      <c r="BH64" s="122"/>
      <c r="BI64" s="75">
        <f t="shared" si="40"/>
        <v>0</v>
      </c>
      <c r="BJ64" s="31"/>
      <c r="BK64" s="136"/>
      <c r="BL64" s="136"/>
      <c r="BM64" s="31"/>
      <c r="BN64" s="122"/>
      <c r="BO64" s="75">
        <f t="shared" si="41"/>
        <v>0</v>
      </c>
      <c r="BP64" s="31"/>
      <c r="BQ64" s="136"/>
      <c r="BR64" s="136"/>
      <c r="BS64" s="31"/>
      <c r="BT64" s="122"/>
      <c r="BU64" s="75">
        <f t="shared" si="42"/>
        <v>0</v>
      </c>
      <c r="BV64" s="31"/>
      <c r="BW64" s="136"/>
      <c r="BX64" s="136"/>
      <c r="BY64" s="31"/>
      <c r="BZ64" s="122"/>
      <c r="CA64" s="75">
        <f t="shared" si="43"/>
        <v>0</v>
      </c>
      <c r="CB64" s="31"/>
      <c r="CC64" s="136"/>
      <c r="CD64" s="136"/>
      <c r="CE64" s="31"/>
      <c r="CF64" s="122"/>
      <c r="CG64" s="75">
        <f t="shared" si="44"/>
        <v>0</v>
      </c>
      <c r="CH64" s="31"/>
      <c r="CI64" s="136"/>
      <c r="CJ64" s="136"/>
      <c r="CK64" s="31"/>
      <c r="CL64" s="122"/>
      <c r="CM64" s="75">
        <f t="shared" si="45"/>
        <v>0</v>
      </c>
    </row>
    <row r="65" spans="1:216" x14ac:dyDescent="0.2">
      <c r="A65" s="2" t="s">
        <v>144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31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32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33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34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22">
        <v>-0.80536912751677847</v>
      </c>
      <c r="AE65" s="75">
        <f t="shared" si="35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22">
        <v>-0.13422818791946309</v>
      </c>
      <c r="AK65" s="75">
        <f t="shared" si="36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22">
        <v>0.53691275167785235</v>
      </c>
      <c r="AQ65" s="75">
        <f t="shared" si="37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22">
        <v>1.3422818791946309</v>
      </c>
      <c r="AW65" s="75">
        <f t="shared" si="38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22">
        <v>-0.13422818791946309</v>
      </c>
      <c r="BC65" s="75">
        <f t="shared" si="39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22">
        <v>2.1476510067114094</v>
      </c>
      <c r="BI65" s="75">
        <f t="shared" si="40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22">
        <v>2.1</v>
      </c>
      <c r="BO65" s="75">
        <f t="shared" si="41"/>
        <v>-2.4637583892617454</v>
      </c>
      <c r="BP65" s="31"/>
      <c r="BQ65" s="31">
        <v>-1</v>
      </c>
      <c r="BR65" s="31">
        <v>-1.6</v>
      </c>
      <c r="BS65" s="31">
        <v>-0.1</v>
      </c>
      <c r="BT65" s="122">
        <v>4.2</v>
      </c>
      <c r="BU65" s="75">
        <f t="shared" si="42"/>
        <v>1.5</v>
      </c>
      <c r="BV65" s="31"/>
      <c r="BW65" s="31">
        <v>-3.1</v>
      </c>
      <c r="BX65" s="31">
        <v>-0.5</v>
      </c>
      <c r="BY65" s="31">
        <v>-1.8</v>
      </c>
      <c r="BZ65" s="122">
        <f>-1.7+5.4</f>
        <v>3.7</v>
      </c>
      <c r="CA65" s="75">
        <f t="shared" si="43"/>
        <v>-1.7000000000000002</v>
      </c>
      <c r="CB65" s="31"/>
      <c r="CC65" s="31">
        <v>-3.1</v>
      </c>
      <c r="CD65" s="31">
        <v>-1</v>
      </c>
      <c r="CE65" s="31">
        <v>0</v>
      </c>
      <c r="CF65" s="122">
        <v>5.2</v>
      </c>
      <c r="CG65" s="75">
        <f t="shared" si="44"/>
        <v>1.1000000000000005</v>
      </c>
      <c r="CH65" s="31"/>
      <c r="CI65" s="31">
        <v>-2.6</v>
      </c>
      <c r="CJ65" s="31">
        <v>1.5</v>
      </c>
      <c r="CK65" s="31">
        <v>1.8</v>
      </c>
      <c r="CL65" s="122">
        <v>3.3</v>
      </c>
      <c r="CM65" s="75">
        <f t="shared" si="45"/>
        <v>4</v>
      </c>
    </row>
    <row r="66" spans="1:216" hidden="1" x14ac:dyDescent="0.2">
      <c r="A66" s="2" t="s">
        <v>32</v>
      </c>
      <c r="C66" s="31">
        <v>0</v>
      </c>
      <c r="D66" s="31">
        <v>0</v>
      </c>
      <c r="E66" s="31">
        <v>0</v>
      </c>
      <c r="F66" s="31">
        <v>0</v>
      </c>
      <c r="G66" s="75">
        <f t="shared" si="31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32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33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34"/>
        <v>0</v>
      </c>
      <c r="Z66" s="31"/>
      <c r="AA66" s="31">
        <v>0</v>
      </c>
      <c r="AB66" s="31">
        <v>0</v>
      </c>
      <c r="AC66" s="31">
        <v>0</v>
      </c>
      <c r="AD66" s="122">
        <v>0</v>
      </c>
      <c r="AE66" s="75">
        <f t="shared" si="35"/>
        <v>0</v>
      </c>
      <c r="AF66" s="31"/>
      <c r="AG66" s="31">
        <v>0</v>
      </c>
      <c r="AH66" s="31">
        <v>0</v>
      </c>
      <c r="AI66" s="31">
        <v>0</v>
      </c>
      <c r="AJ66" s="122">
        <v>0</v>
      </c>
      <c r="AK66" s="75">
        <f t="shared" si="36"/>
        <v>0</v>
      </c>
      <c r="AL66" s="31"/>
      <c r="AM66" s="31">
        <v>0</v>
      </c>
      <c r="AN66" s="31">
        <v>0</v>
      </c>
      <c r="AO66" s="31">
        <v>0</v>
      </c>
      <c r="AP66" s="122">
        <v>0</v>
      </c>
      <c r="AQ66" s="75">
        <f t="shared" si="37"/>
        <v>0</v>
      </c>
      <c r="AR66" s="31"/>
      <c r="AS66" s="31">
        <v>0</v>
      </c>
      <c r="AT66" s="31">
        <v>0</v>
      </c>
      <c r="AU66" s="31">
        <v>0</v>
      </c>
      <c r="AV66" s="122">
        <v>0</v>
      </c>
      <c r="AW66" s="75">
        <f t="shared" si="38"/>
        <v>0</v>
      </c>
      <c r="AX66" s="31"/>
      <c r="AY66" s="31">
        <v>0</v>
      </c>
      <c r="AZ66" s="31">
        <v>0</v>
      </c>
      <c r="BA66" s="31">
        <v>0</v>
      </c>
      <c r="BB66" s="122">
        <v>0</v>
      </c>
      <c r="BC66" s="75">
        <f t="shared" si="39"/>
        <v>0</v>
      </c>
      <c r="BD66" s="31"/>
      <c r="BE66" s="31">
        <v>0</v>
      </c>
      <c r="BF66" s="31">
        <v>0</v>
      </c>
      <c r="BG66" s="31">
        <v>0</v>
      </c>
      <c r="BH66" s="122">
        <v>0</v>
      </c>
      <c r="BI66" s="75">
        <f t="shared" si="40"/>
        <v>0</v>
      </c>
      <c r="BJ66" s="31"/>
      <c r="BK66" s="31">
        <v>0</v>
      </c>
      <c r="BL66" s="31">
        <v>0</v>
      </c>
      <c r="BM66" s="31">
        <v>0</v>
      </c>
      <c r="BN66" s="122"/>
      <c r="BO66" s="75">
        <f t="shared" si="41"/>
        <v>0</v>
      </c>
      <c r="BP66" s="31"/>
      <c r="BQ66" s="31">
        <v>0</v>
      </c>
      <c r="BR66" s="31"/>
      <c r="BS66" s="31"/>
      <c r="BT66" s="122"/>
      <c r="BU66" s="75">
        <f t="shared" si="42"/>
        <v>0</v>
      </c>
      <c r="BV66" s="31"/>
      <c r="BW66" s="31">
        <v>0</v>
      </c>
      <c r="BX66" s="31"/>
      <c r="BY66" s="31"/>
      <c r="BZ66" s="122"/>
      <c r="CA66" s="75">
        <f t="shared" si="43"/>
        <v>0</v>
      </c>
      <c r="CB66" s="31"/>
      <c r="CC66" s="31">
        <v>0</v>
      </c>
      <c r="CD66" s="31"/>
      <c r="CE66" s="31"/>
      <c r="CF66" s="122"/>
      <c r="CG66" s="75">
        <f t="shared" si="44"/>
        <v>0</v>
      </c>
      <c r="CH66" s="31"/>
      <c r="CI66" s="31">
        <v>0</v>
      </c>
      <c r="CJ66" s="31"/>
      <c r="CK66" s="31"/>
      <c r="CL66" s="122"/>
      <c r="CM66" s="75">
        <f t="shared" si="45"/>
        <v>0</v>
      </c>
    </row>
    <row r="67" spans="1:216" x14ac:dyDescent="0.2">
      <c r="A67" s="2" t="s">
        <v>52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31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32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33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34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22">
        <v>0.67114093959731547</v>
      </c>
      <c r="AE67" s="75">
        <f t="shared" si="35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22">
        <v>-1.3422818791946309</v>
      </c>
      <c r="AK67" s="75">
        <f t="shared" si="36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22">
        <v>-1.0738255033557047</v>
      </c>
      <c r="AQ67" s="75">
        <f t="shared" si="37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22">
        <v>-1.3422818791946309</v>
      </c>
      <c r="AW67" s="75">
        <f t="shared" si="38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22">
        <v>-1.2080536912751678</v>
      </c>
      <c r="BC67" s="75">
        <f t="shared" si="39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22">
        <v>-1.6107382550335569</v>
      </c>
      <c r="BI67" s="75">
        <f t="shared" si="40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22">
        <v>-0.9</v>
      </c>
      <c r="BO67" s="75">
        <f t="shared" si="41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22">
        <v>-2.5</v>
      </c>
      <c r="BU67" s="75">
        <f t="shared" si="42"/>
        <v>-4.5711409395973153</v>
      </c>
      <c r="BV67" s="31"/>
      <c r="BW67" s="31">
        <v>0</v>
      </c>
      <c r="BX67" s="31">
        <v>0</v>
      </c>
      <c r="BY67" s="31">
        <v>0</v>
      </c>
      <c r="BZ67" s="122"/>
      <c r="CA67" s="75">
        <f t="shared" si="43"/>
        <v>0</v>
      </c>
      <c r="CB67" s="31"/>
      <c r="CC67" s="31"/>
      <c r="CD67" s="31"/>
      <c r="CE67" s="31"/>
      <c r="CF67" s="122"/>
      <c r="CG67" s="75">
        <f t="shared" si="44"/>
        <v>0</v>
      </c>
      <c r="CH67" s="31"/>
      <c r="CI67" s="31"/>
      <c r="CJ67" s="31"/>
      <c r="CK67" s="31"/>
      <c r="CL67" s="122"/>
      <c r="CM67" s="75">
        <f t="shared" si="45"/>
        <v>0</v>
      </c>
    </row>
    <row r="68" spans="1:216" s="56" customFormat="1" ht="18.75" customHeight="1" x14ac:dyDescent="0.2">
      <c r="C68" s="123">
        <f>SUM(C60:C67)</f>
        <v>9.9328859060402692</v>
      </c>
      <c r="D68" s="123">
        <f>SUM(D60:D67)</f>
        <v>16.778523489932891</v>
      </c>
      <c r="E68" s="123">
        <f>SUM(E60:E67)</f>
        <v>18.657718120805367</v>
      </c>
      <c r="F68" s="123">
        <f>SUM(F60:F67)</f>
        <v>19.73154362416107</v>
      </c>
      <c r="G68" s="124">
        <f>SUM(G60:G67)</f>
        <v>65.10067114093961</v>
      </c>
      <c r="H68" s="123"/>
      <c r="I68" s="123">
        <f>SUM(I60:I67)</f>
        <v>16.644295302013425</v>
      </c>
      <c r="J68" s="123">
        <f>SUM(J60:J67)</f>
        <v>43.489932885906036</v>
      </c>
      <c r="K68" s="123">
        <f>SUM(K60:K67)</f>
        <v>27.114093959731537</v>
      </c>
      <c r="L68" s="123">
        <f>SUM(L60:L67)</f>
        <v>22.550335570469798</v>
      </c>
      <c r="M68" s="124">
        <f>SUM(M60:M67)</f>
        <v>109.79865771812084</v>
      </c>
      <c r="N68" s="123"/>
      <c r="O68" s="123">
        <f>SUM(O60:O67)</f>
        <v>25.63758389261745</v>
      </c>
      <c r="P68" s="123">
        <f>SUM(P60:P67)</f>
        <v>44.429530201342288</v>
      </c>
      <c r="Q68" s="123">
        <f>SUM(Q60:Q67)</f>
        <v>33.288590604026844</v>
      </c>
      <c r="R68" s="123">
        <f>SUM(R60:R67)</f>
        <v>48.724832214765101</v>
      </c>
      <c r="S68" s="124">
        <f>SUM(S60:S67)</f>
        <v>152.08053691275168</v>
      </c>
      <c r="T68" s="123"/>
      <c r="U68" s="123">
        <f>SUM(U60:U67)</f>
        <v>30.335570469798661</v>
      </c>
      <c r="V68" s="123">
        <f>SUM(V60:V67)</f>
        <v>50.604026845637591</v>
      </c>
      <c r="W68" s="123">
        <f>SUM(W60:W67)</f>
        <v>32.348993288590599</v>
      </c>
      <c r="X68" s="123">
        <f>SUM(X60:X67)</f>
        <v>-3.4899328859060406</v>
      </c>
      <c r="Y68" s="124">
        <f>SUM(Y60:Y67)</f>
        <v>109.79865771812081</v>
      </c>
      <c r="Z68" s="123"/>
      <c r="AA68" s="123">
        <f>SUM(AA60:AA67)</f>
        <v>4.8322147651006713</v>
      </c>
      <c r="AB68" s="123">
        <f>SUM(AB60:AB67)</f>
        <v>19.597315436241612</v>
      </c>
      <c r="AC68" s="123">
        <f>SUM(AC60:AC67)</f>
        <v>17.583892617449663</v>
      </c>
      <c r="AD68" s="123">
        <f>SUM(AD60:AD67)</f>
        <v>13.825503355704695</v>
      </c>
      <c r="AE68" s="124">
        <f>SUM(AE60:AE67)</f>
        <v>55.838926174496642</v>
      </c>
      <c r="AF68" s="123"/>
      <c r="AG68" s="123">
        <f>SUM(AG60:AG67)</f>
        <v>16.107382550335572</v>
      </c>
      <c r="AH68" s="123">
        <f>SUM(AH60:AH67)</f>
        <v>21.476510067114098</v>
      </c>
      <c r="AI68" s="123">
        <f>SUM(AI60:AI67)</f>
        <v>19.865771812080538</v>
      </c>
      <c r="AJ68" s="123">
        <f>SUM(AJ60:AJ67)</f>
        <v>6.9798657718120802</v>
      </c>
      <c r="AK68" s="124">
        <f>SUM(AK60:AK67)</f>
        <v>64.429530201342288</v>
      </c>
      <c r="AL68" s="123"/>
      <c r="AM68" s="123">
        <f>SUM(AM60:AM67)</f>
        <v>13.020134228187921</v>
      </c>
      <c r="AN68" s="123">
        <f>SUM(AN60:AN67)</f>
        <v>12.885906040268456</v>
      </c>
      <c r="AO68" s="123">
        <f>SUM(AO60:AO67)</f>
        <v>24.832214765100673</v>
      </c>
      <c r="AP68" s="123">
        <f>SUM(AP60:AP67)</f>
        <v>8.9932885906040241</v>
      </c>
      <c r="AQ68" s="124">
        <f>SUM(AQ60:AQ67)</f>
        <v>59.731543624161063</v>
      </c>
      <c r="AR68" s="123"/>
      <c r="AS68" s="123">
        <f>SUM(AS60:AS67)</f>
        <v>13.825503355704699</v>
      </c>
      <c r="AT68" s="123">
        <f>SUM(AT60:AT67)</f>
        <v>13.288590604026844</v>
      </c>
      <c r="AU68" s="123">
        <f>SUM(AU60:AU67)</f>
        <v>13.691275167785236</v>
      </c>
      <c r="AV68" s="123">
        <f>SUM(AV60:AV67)</f>
        <v>22.684563758389263</v>
      </c>
      <c r="AW68" s="124">
        <f>SUM(AW60:AW67)</f>
        <v>63.489932885906043</v>
      </c>
      <c r="AX68" s="123"/>
      <c r="AY68" s="123">
        <f>SUM(AY60:AY67)</f>
        <v>11.812080536912749</v>
      </c>
      <c r="AZ68" s="123">
        <f>SUM(AZ60:AZ67)</f>
        <v>20</v>
      </c>
      <c r="BA68" s="123">
        <f>SUM(BA60:BA67)</f>
        <v>14.093959731543626</v>
      </c>
      <c r="BB68" s="123">
        <f>SUM(BB60:BB67)</f>
        <v>22.281879194630871</v>
      </c>
      <c r="BC68" s="124">
        <f>SUM(BC60:BC67)</f>
        <v>68.187919463087241</v>
      </c>
      <c r="BD68" s="123"/>
      <c r="BE68" s="123">
        <f>SUM(BE60:BE67)</f>
        <v>21.61073825503356</v>
      </c>
      <c r="BF68" s="123">
        <f>SUM(BF60:BF67)</f>
        <v>11.543624161073826</v>
      </c>
      <c r="BG68" s="123">
        <f>SUM(BG60:BG67)</f>
        <v>13.020134228187919</v>
      </c>
      <c r="BH68" s="123">
        <f>SUM(BH60:BH67)</f>
        <v>21.61073825503356</v>
      </c>
      <c r="BI68" s="124">
        <f>SUM(BI60:BI67)</f>
        <v>67.785234899328842</v>
      </c>
      <c r="BJ68" s="123"/>
      <c r="BK68" s="123">
        <f>SUM(BK60:BK67)</f>
        <v>14.496644295302016</v>
      </c>
      <c r="BL68" s="123">
        <f>SUM(BL60:BL67)</f>
        <v>-5.6375838926174477</v>
      </c>
      <c r="BM68" s="123">
        <f>SUM(BM60:BM67)</f>
        <v>13.557046979865772</v>
      </c>
      <c r="BN68" s="123">
        <f>SUM(BN60:BN67)</f>
        <v>11.8</v>
      </c>
      <c r="BO68" s="124">
        <f>SUM(BO60:BO67)</f>
        <v>34.216107382550334</v>
      </c>
      <c r="BP68" s="123"/>
      <c r="BQ68" s="123">
        <f>SUM(BQ60:BQ67)</f>
        <v>16.228859060402687</v>
      </c>
      <c r="BR68" s="123">
        <f>SUM(BR60:BR67)</f>
        <v>30.3</v>
      </c>
      <c r="BS68" s="123">
        <f>SUM(BS60:BS67)</f>
        <v>-20.800000000000004</v>
      </c>
      <c r="BT68" s="123">
        <f>SUM(BT60:BT67)</f>
        <v>14.600000000000001</v>
      </c>
      <c r="BU68" s="124">
        <f>SUM(BU60:BU67)</f>
        <v>40.328859060402685</v>
      </c>
      <c r="BV68" s="123"/>
      <c r="BW68" s="123">
        <f>SUM(BW60:BW67)</f>
        <v>20.299999999999997</v>
      </c>
      <c r="BX68" s="123">
        <f>SUM(BX60:BX67)</f>
        <v>52.2</v>
      </c>
      <c r="BY68" s="123">
        <f>SUM(BY60:BY67)</f>
        <v>30.600000000000005</v>
      </c>
      <c r="BZ68" s="123">
        <f>SUM(BZ60:BZ67)</f>
        <v>-2.6000000000000005</v>
      </c>
      <c r="CA68" s="124">
        <f>SUM(CA60:CA67)</f>
        <v>17.3</v>
      </c>
      <c r="CB68" s="123"/>
      <c r="CC68" s="123">
        <f>SUM(CC60:CC67)</f>
        <v>-5.6</v>
      </c>
      <c r="CD68" s="123">
        <f>SUM(CD60:CD67)</f>
        <v>4.3</v>
      </c>
      <c r="CE68" s="123">
        <f>SUM(CE60:CE67)</f>
        <v>-3</v>
      </c>
      <c r="CF68" s="123">
        <f>SUM(CF60:CF67)</f>
        <v>-33.199999999999996</v>
      </c>
      <c r="CG68" s="124">
        <f>SUM(CG60:CG67)</f>
        <v>-37.5</v>
      </c>
      <c r="CH68" s="123"/>
      <c r="CI68" s="123">
        <f>SUM(CI60:CI67)</f>
        <v>-22.6</v>
      </c>
      <c r="CJ68" s="123">
        <f>SUM(CJ60:CJ67)</f>
        <v>-13.3</v>
      </c>
      <c r="CK68" s="123">
        <f>SUM(CK60:CK67)</f>
        <v>-17</v>
      </c>
      <c r="CL68" s="123">
        <f>SUM(CL60:CL67)</f>
        <v>-42.400000000000006</v>
      </c>
      <c r="CM68" s="124">
        <f>SUM(CM60:CM67)</f>
        <v>-95.3</v>
      </c>
    </row>
    <row r="69" spans="1:216" s="60" customFormat="1" x14ac:dyDescent="0.2">
      <c r="C69" s="137"/>
      <c r="D69" s="137"/>
      <c r="E69" s="137"/>
      <c r="F69" s="137"/>
      <c r="G69" s="126"/>
      <c r="H69" s="137"/>
      <c r="I69" s="137"/>
      <c r="J69" s="137"/>
      <c r="K69" s="137"/>
      <c r="L69" s="137"/>
      <c r="M69" s="126"/>
      <c r="N69" s="137"/>
      <c r="O69" s="137"/>
      <c r="P69" s="137"/>
      <c r="Q69" s="137"/>
      <c r="R69" s="137"/>
      <c r="S69" s="126"/>
      <c r="T69" s="137"/>
      <c r="U69" s="137"/>
      <c r="V69" s="137"/>
      <c r="W69" s="137"/>
      <c r="X69" s="137"/>
      <c r="Y69" s="126"/>
      <c r="Z69" s="137"/>
      <c r="AA69" s="137"/>
      <c r="AB69" s="137"/>
      <c r="AC69" s="137"/>
      <c r="AD69" s="137"/>
      <c r="AE69" s="126"/>
      <c r="AF69" s="137"/>
      <c r="AG69" s="137"/>
      <c r="AH69" s="137"/>
      <c r="AI69" s="137"/>
      <c r="AJ69" s="137"/>
      <c r="AK69" s="126"/>
      <c r="AL69" s="137"/>
      <c r="AM69" s="137"/>
      <c r="AN69" s="137"/>
      <c r="AO69" s="137"/>
      <c r="AP69" s="137"/>
      <c r="AQ69" s="126"/>
      <c r="AR69" s="137"/>
      <c r="AS69" s="137"/>
      <c r="AT69" s="137"/>
      <c r="AU69" s="137"/>
      <c r="AV69" s="137"/>
      <c r="AW69" s="126"/>
      <c r="AX69" s="137"/>
      <c r="AY69" s="137"/>
      <c r="AZ69" s="137"/>
      <c r="BA69" s="137"/>
      <c r="BB69" s="137"/>
      <c r="BC69" s="126"/>
      <c r="BD69" s="137"/>
      <c r="BE69" s="137"/>
      <c r="BF69" s="137"/>
      <c r="BG69" s="137"/>
      <c r="BH69" s="137"/>
      <c r="BI69" s="126"/>
      <c r="BJ69" s="137"/>
      <c r="BK69" s="137"/>
      <c r="BL69" s="137"/>
      <c r="BM69" s="137"/>
      <c r="BN69" s="137"/>
      <c r="BO69" s="126"/>
      <c r="BP69" s="137"/>
      <c r="BQ69" s="137"/>
      <c r="BR69" s="137"/>
      <c r="BS69" s="137"/>
      <c r="BT69" s="137"/>
      <c r="BU69" s="126"/>
      <c r="BV69" s="137"/>
      <c r="BW69" s="137"/>
      <c r="BX69" s="137"/>
      <c r="BY69" s="137"/>
      <c r="BZ69" s="137"/>
      <c r="CA69" s="126"/>
      <c r="CB69" s="137"/>
      <c r="CC69" s="137"/>
      <c r="CD69" s="137"/>
      <c r="CE69" s="137"/>
      <c r="CF69" s="137"/>
      <c r="CG69" s="126"/>
      <c r="CH69" s="137"/>
      <c r="CI69" s="137"/>
      <c r="CJ69" s="137"/>
      <c r="CK69" s="137"/>
      <c r="CL69" s="137"/>
      <c r="CM69" s="126"/>
    </row>
    <row r="70" spans="1:216" x14ac:dyDescent="0.2">
      <c r="A70" s="5" t="s">
        <v>31</v>
      </c>
      <c r="C70" s="31"/>
      <c r="D70" s="31"/>
      <c r="E70" s="31"/>
      <c r="F70" s="31"/>
      <c r="G70" s="88"/>
      <c r="H70" s="31"/>
      <c r="I70" s="31"/>
      <c r="J70" s="138"/>
      <c r="K70" s="138"/>
      <c r="L70" s="127"/>
      <c r="M70" s="139"/>
      <c r="N70" s="31"/>
      <c r="O70" s="31"/>
      <c r="P70" s="138"/>
      <c r="Q70" s="138"/>
      <c r="R70" s="127"/>
      <c r="S70" s="139"/>
      <c r="T70" s="31"/>
      <c r="U70" s="31"/>
      <c r="V70" s="138"/>
      <c r="W70" s="138"/>
      <c r="X70" s="127"/>
      <c r="Y70" s="139"/>
      <c r="Z70" s="31"/>
      <c r="AA70" s="31"/>
      <c r="AB70" s="138"/>
      <c r="AC70" s="138"/>
      <c r="AD70" s="127"/>
      <c r="AE70" s="139"/>
      <c r="AF70" s="31"/>
      <c r="AG70" s="31"/>
      <c r="AH70" s="138"/>
      <c r="AI70" s="138"/>
      <c r="AJ70" s="127"/>
      <c r="AK70" s="139"/>
      <c r="AL70" s="31"/>
      <c r="AM70" s="31"/>
      <c r="AN70" s="138"/>
      <c r="AO70" s="138"/>
      <c r="AP70" s="127"/>
      <c r="AQ70" s="139"/>
      <c r="AR70" s="31"/>
      <c r="AS70" s="31"/>
      <c r="AT70" s="138"/>
      <c r="AU70" s="138"/>
      <c r="AV70" s="127"/>
      <c r="AW70" s="139"/>
      <c r="AX70" s="31"/>
      <c r="AY70" s="31"/>
      <c r="AZ70" s="138"/>
      <c r="BA70" s="138"/>
      <c r="BB70" s="127"/>
      <c r="BC70" s="139"/>
      <c r="BD70" s="31"/>
      <c r="BE70" s="31"/>
      <c r="BF70" s="138"/>
      <c r="BG70" s="138"/>
      <c r="BH70" s="127"/>
      <c r="BI70" s="139"/>
      <c r="BJ70" s="31"/>
      <c r="BK70" s="31"/>
      <c r="BL70" s="138"/>
      <c r="BM70" s="138"/>
      <c r="BN70" s="127"/>
      <c r="BO70" s="139"/>
      <c r="BP70" s="31"/>
      <c r="BQ70" s="31"/>
      <c r="BR70" s="138"/>
      <c r="BS70" s="138"/>
      <c r="BT70" s="127"/>
      <c r="BU70" s="139"/>
      <c r="BV70" s="31"/>
      <c r="BW70" s="31"/>
      <c r="BX70" s="138"/>
      <c r="BY70" s="138"/>
      <c r="BZ70" s="127"/>
      <c r="CA70" s="139"/>
      <c r="CB70" s="31"/>
      <c r="CC70" s="31"/>
      <c r="CD70" s="138"/>
      <c r="CE70" s="138"/>
      <c r="CF70" s="127"/>
      <c r="CG70" s="139"/>
      <c r="CH70" s="31"/>
      <c r="CI70" s="31"/>
      <c r="CJ70" s="138"/>
      <c r="CK70" s="138"/>
      <c r="CL70" s="127"/>
      <c r="CM70" s="139"/>
    </row>
    <row r="71" spans="1:216" s="60" customFormat="1" x14ac:dyDescent="0.2">
      <c r="A71" s="60" t="s">
        <v>145</v>
      </c>
      <c r="C71" s="137">
        <v>96.510067114093957</v>
      </c>
      <c r="D71" s="137">
        <v>102.14765100671141</v>
      </c>
      <c r="E71" s="137">
        <v>118.92617449664429</v>
      </c>
      <c r="F71" s="137">
        <v>121.61073825503355</v>
      </c>
      <c r="G71" s="126"/>
      <c r="H71" s="137"/>
      <c r="I71" s="137">
        <v>157.85234899328859</v>
      </c>
      <c r="J71" s="140">
        <v>158.25503355704697</v>
      </c>
      <c r="K71" s="140">
        <v>173.15436241610738</v>
      </c>
      <c r="L71" s="137">
        <v>166.84563758389262</v>
      </c>
      <c r="M71" s="141"/>
      <c r="N71" s="137"/>
      <c r="O71" s="137">
        <v>305.7718120805369</v>
      </c>
      <c r="P71" s="140">
        <v>332.88590604026842</v>
      </c>
      <c r="Q71" s="140">
        <v>328.85906040268458</v>
      </c>
      <c r="R71" s="137">
        <v>297.98657718120802</v>
      </c>
      <c r="S71" s="141"/>
      <c r="T71" s="137"/>
      <c r="U71" s="137">
        <v>351.14093959731542</v>
      </c>
      <c r="V71" s="140">
        <v>398.25503355704694</v>
      </c>
      <c r="W71" s="140">
        <v>416.10738255033556</v>
      </c>
      <c r="X71" s="137">
        <v>327.78523489932883</v>
      </c>
      <c r="Y71" s="141"/>
      <c r="Z71" s="137"/>
      <c r="AA71" s="137">
        <v>327.26174496644296</v>
      </c>
      <c r="AB71" s="142">
        <v>392.75167785234896</v>
      </c>
      <c r="AC71" s="140">
        <v>424.56375838926175</v>
      </c>
      <c r="AD71" s="137">
        <v>444.69798657718121</v>
      </c>
      <c r="AE71" s="141"/>
      <c r="AF71" s="137"/>
      <c r="AG71" s="137">
        <v>515.70469798657712</v>
      </c>
      <c r="AH71" s="142">
        <v>580</v>
      </c>
      <c r="AI71" s="140">
        <v>633.02013422818789</v>
      </c>
      <c r="AJ71" s="137">
        <v>631.00671140939596</v>
      </c>
      <c r="AK71" s="141"/>
      <c r="AL71" s="137"/>
      <c r="AM71" s="137">
        <v>696.77852348993292</v>
      </c>
      <c r="AN71" s="142">
        <v>701.07382550335569</v>
      </c>
      <c r="AO71" s="140">
        <v>645.50335570469792</v>
      </c>
      <c r="AP71" s="137">
        <v>600</v>
      </c>
      <c r="AQ71" s="141"/>
      <c r="AR71" s="137"/>
      <c r="AS71" s="137">
        <v>610.73825503355704</v>
      </c>
      <c r="AT71" s="142">
        <v>628.85906040268458</v>
      </c>
      <c r="AU71" s="140">
        <v>661.87919463087246</v>
      </c>
      <c r="AV71" s="137">
        <v>583.35570469798654</v>
      </c>
      <c r="AW71" s="141"/>
      <c r="AX71" s="137"/>
      <c r="AY71" s="137">
        <v>643.62416107382546</v>
      </c>
      <c r="AZ71" s="142">
        <v>646.97986577181211</v>
      </c>
      <c r="BA71" s="140">
        <v>657.85234899328862</v>
      </c>
      <c r="BB71" s="137">
        <v>611.67785234899327</v>
      </c>
      <c r="BC71" s="141"/>
      <c r="BD71" s="137"/>
      <c r="BE71" s="140">
        <v>565.77181208053685</v>
      </c>
      <c r="BF71" s="142">
        <v>566.84563758389265</v>
      </c>
      <c r="BG71" s="140">
        <v>596.91275167785238</v>
      </c>
      <c r="BH71" s="137">
        <v>491.40939597315435</v>
      </c>
      <c r="BI71" s="141"/>
      <c r="BJ71" s="137"/>
      <c r="BK71" s="140">
        <v>505.23489932885906</v>
      </c>
      <c r="BL71" s="142">
        <v>463.48993288590606</v>
      </c>
      <c r="BM71" s="140">
        <v>437.58389261744964</v>
      </c>
      <c r="BN71" s="137">
        <v>381.3</v>
      </c>
      <c r="BO71" s="141"/>
      <c r="BP71" s="137"/>
      <c r="BQ71" s="140">
        <v>393.7</v>
      </c>
      <c r="BR71" s="142">
        <v>404.1</v>
      </c>
      <c r="BS71" s="140">
        <v>374.4</v>
      </c>
      <c r="BT71" s="137">
        <v>348.4</v>
      </c>
      <c r="BU71" s="141"/>
      <c r="BV71" s="137"/>
      <c r="BW71" s="140">
        <v>1006.7</v>
      </c>
      <c r="BX71" s="142">
        <v>1139.0999999999999</v>
      </c>
      <c r="BY71" s="140">
        <v>1120.7</v>
      </c>
      <c r="BZ71" s="137">
        <f>1043.9+0.9-4.3</f>
        <v>1040.5000000000002</v>
      </c>
      <c r="CA71" s="141"/>
      <c r="CB71" s="137"/>
      <c r="CC71" s="140">
        <v>1140.5</v>
      </c>
      <c r="CD71" s="142">
        <v>1104.3</v>
      </c>
      <c r="CE71" s="140">
        <v>1158.3</v>
      </c>
      <c r="CF71" s="137">
        <v>1065.3</v>
      </c>
      <c r="CG71" s="141"/>
      <c r="CH71" s="137"/>
      <c r="CI71" s="140">
        <v>1113.5</v>
      </c>
      <c r="CJ71" s="142">
        <v>1083.5</v>
      </c>
      <c r="CK71" s="140">
        <v>1054.5</v>
      </c>
      <c r="CL71" s="137">
        <v>941.6</v>
      </c>
      <c r="CM71" s="141"/>
    </row>
    <row r="72" spans="1:216" x14ac:dyDescent="0.2">
      <c r="A72" s="2" t="s">
        <v>86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28">
        <v>323.08724832214762</v>
      </c>
      <c r="K72" s="128">
        <v>310.60402684563758</v>
      </c>
      <c r="L72" s="127">
        <v>314.36241610738256</v>
      </c>
      <c r="M72" s="139"/>
      <c r="N72" s="31"/>
      <c r="O72" s="31">
        <v>322.14765100671138</v>
      </c>
      <c r="P72" s="128">
        <v>329.79865771812081</v>
      </c>
      <c r="Q72" s="128">
        <v>342.68456375838923</v>
      </c>
      <c r="R72" s="127">
        <v>337.04697986577179</v>
      </c>
      <c r="S72" s="139"/>
      <c r="T72" s="31"/>
      <c r="U72" s="31">
        <v>358.52348993288592</v>
      </c>
      <c r="V72" s="128">
        <v>382.55033557046977</v>
      </c>
      <c r="W72" s="128">
        <v>390.06711409395973</v>
      </c>
      <c r="X72" s="127">
        <v>379.73154362416108</v>
      </c>
      <c r="Y72" s="139"/>
      <c r="Z72" s="31"/>
      <c r="AA72" s="31">
        <v>381.47651006711408</v>
      </c>
      <c r="AB72" s="130">
        <v>358.52348993288592</v>
      </c>
      <c r="AC72" s="128">
        <v>339.32885906040269</v>
      </c>
      <c r="AD72" s="127">
        <v>346.30872483221475</v>
      </c>
      <c r="AE72" s="139"/>
      <c r="AF72" s="31"/>
      <c r="AG72" s="31">
        <v>376.51006711409394</v>
      </c>
      <c r="AH72" s="130">
        <v>399.73154362416108</v>
      </c>
      <c r="AI72" s="128">
        <v>383.75838926174498</v>
      </c>
      <c r="AJ72" s="127">
        <v>388.99328859060404</v>
      </c>
      <c r="AK72" s="139"/>
      <c r="AL72" s="31"/>
      <c r="AM72" s="31">
        <v>400.67114093959731</v>
      </c>
      <c r="AN72" s="130">
        <v>403.75838926174498</v>
      </c>
      <c r="AO72" s="128">
        <v>427.78523489932883</v>
      </c>
      <c r="AP72" s="127">
        <v>433.82550335570471</v>
      </c>
      <c r="AQ72" s="139"/>
      <c r="AR72" s="31"/>
      <c r="AS72" s="31">
        <v>444.83221476510067</v>
      </c>
      <c r="AT72" s="130">
        <v>448.99328859060404</v>
      </c>
      <c r="AU72" s="128">
        <v>438.12080536912748</v>
      </c>
      <c r="AV72" s="127">
        <v>412.48322147651004</v>
      </c>
      <c r="AW72" s="139"/>
      <c r="AX72" s="31"/>
      <c r="AY72" s="31">
        <v>452.88590604026842</v>
      </c>
      <c r="AZ72" s="130">
        <v>456.24161073825502</v>
      </c>
      <c r="BA72" s="128">
        <v>432.48322147651004</v>
      </c>
      <c r="BB72" s="127">
        <v>412.6174496644295</v>
      </c>
      <c r="BC72" s="139"/>
      <c r="BD72" s="31"/>
      <c r="BE72" s="85">
        <v>436.37583892617448</v>
      </c>
      <c r="BF72" s="130">
        <v>446.30872483221475</v>
      </c>
      <c r="BG72" s="128">
        <v>461.61073825503354</v>
      </c>
      <c r="BH72" s="127">
        <v>440.67114093959731</v>
      </c>
      <c r="BI72" s="139"/>
      <c r="BJ72" s="31"/>
      <c r="BK72" s="85">
        <v>500.80536912751677</v>
      </c>
      <c r="BL72" s="130">
        <v>515.16778523489927</v>
      </c>
      <c r="BM72" s="128">
        <v>513.69127516778519</v>
      </c>
      <c r="BN72" s="127">
        <v>501.6</v>
      </c>
      <c r="BO72" s="139"/>
      <c r="BP72" s="31"/>
      <c r="BQ72" s="85">
        <v>541.6</v>
      </c>
      <c r="BR72" s="130">
        <v>545.4</v>
      </c>
      <c r="BS72" s="128">
        <v>520.1</v>
      </c>
      <c r="BT72" s="127">
        <v>490.7</v>
      </c>
      <c r="BU72" s="139"/>
      <c r="BV72" s="31"/>
      <c r="BW72" s="85">
        <v>535.29999999999995</v>
      </c>
      <c r="BX72" s="130">
        <v>535.6</v>
      </c>
      <c r="BY72" s="128">
        <v>530.1</v>
      </c>
      <c r="BZ72" s="127"/>
      <c r="CA72" s="139"/>
      <c r="CB72" s="31"/>
      <c r="CC72" s="85"/>
      <c r="CD72" s="130"/>
      <c r="CE72" s="128"/>
      <c r="CF72" s="127"/>
      <c r="CG72" s="139"/>
      <c r="CH72" s="31"/>
      <c r="CI72" s="85"/>
      <c r="CJ72" s="130"/>
      <c r="CK72" s="128"/>
      <c r="CL72" s="127"/>
      <c r="CM72" s="139"/>
    </row>
    <row r="73" spans="1:216" hidden="1" x14ac:dyDescent="0.2">
      <c r="A73" s="30" t="s">
        <v>28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27">
        <v>0</v>
      </c>
      <c r="L73" s="127">
        <v>0</v>
      </c>
      <c r="M73" s="139"/>
      <c r="N73" s="31"/>
      <c r="O73" s="31">
        <v>0</v>
      </c>
      <c r="P73" s="31">
        <v>0</v>
      </c>
      <c r="Q73" s="127">
        <v>0</v>
      </c>
      <c r="R73" s="127">
        <v>0</v>
      </c>
      <c r="S73" s="139"/>
      <c r="T73" s="31"/>
      <c r="U73" s="31">
        <v>0</v>
      </c>
      <c r="V73" s="31">
        <v>0</v>
      </c>
      <c r="W73" s="127">
        <v>0</v>
      </c>
      <c r="X73" s="127">
        <v>0</v>
      </c>
      <c r="Y73" s="139"/>
      <c r="Z73" s="31"/>
      <c r="AA73" s="31">
        <v>0</v>
      </c>
      <c r="AB73" s="122">
        <v>0</v>
      </c>
      <c r="AC73" s="127">
        <v>0</v>
      </c>
      <c r="AD73" s="127">
        <v>0</v>
      </c>
      <c r="AE73" s="139"/>
      <c r="AF73" s="31"/>
      <c r="AG73" s="31">
        <v>0</v>
      </c>
      <c r="AH73" s="122">
        <v>0</v>
      </c>
      <c r="AI73" s="127">
        <v>0</v>
      </c>
      <c r="AJ73" s="127">
        <v>0</v>
      </c>
      <c r="AK73" s="139"/>
      <c r="AL73" s="31"/>
      <c r="AM73" s="31">
        <v>0</v>
      </c>
      <c r="AN73" s="122">
        <v>0</v>
      </c>
      <c r="AO73" s="127">
        <v>0</v>
      </c>
      <c r="AP73" s="127">
        <v>0</v>
      </c>
      <c r="AQ73" s="139"/>
      <c r="AR73" s="31"/>
      <c r="AS73" s="31">
        <v>0</v>
      </c>
      <c r="AT73" s="122">
        <v>0</v>
      </c>
      <c r="AU73" s="127">
        <v>0</v>
      </c>
      <c r="AV73" s="127">
        <v>0</v>
      </c>
      <c r="AW73" s="139"/>
      <c r="AX73" s="31"/>
      <c r="AY73" s="31"/>
      <c r="AZ73" s="122"/>
      <c r="BA73" s="127"/>
      <c r="BB73" s="127"/>
      <c r="BC73" s="139"/>
      <c r="BD73" s="31"/>
      <c r="BE73" s="85"/>
      <c r="BF73" s="122"/>
      <c r="BG73" s="127"/>
      <c r="BH73" s="127"/>
      <c r="BI73" s="139"/>
      <c r="BJ73" s="31"/>
      <c r="BK73" s="85"/>
      <c r="BL73" s="122"/>
      <c r="BM73" s="127"/>
      <c r="BN73" s="127"/>
      <c r="BO73" s="139"/>
      <c r="BP73" s="31"/>
      <c r="BQ73" s="85"/>
      <c r="BR73" s="122"/>
      <c r="BS73" s="127"/>
      <c r="BT73" s="127"/>
      <c r="BU73" s="139"/>
      <c r="BV73" s="31"/>
      <c r="BW73" s="85"/>
      <c r="BX73" s="122"/>
      <c r="BY73" s="127"/>
      <c r="BZ73" s="127"/>
      <c r="CA73" s="139"/>
      <c r="CB73" s="31"/>
      <c r="CC73" s="85"/>
      <c r="CD73" s="122"/>
      <c r="CE73" s="127"/>
      <c r="CF73" s="127"/>
      <c r="CG73" s="139"/>
      <c r="CH73" s="31"/>
      <c r="CI73" s="85"/>
      <c r="CJ73" s="122"/>
      <c r="CK73" s="127"/>
      <c r="CL73" s="127"/>
      <c r="CM73" s="139"/>
    </row>
    <row r="74" spans="1:216" x14ac:dyDescent="0.2">
      <c r="A74" s="2" t="s">
        <v>77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  <c r="CC74" s="85"/>
      <c r="CD74" s="85"/>
      <c r="CE74" s="85"/>
      <c r="CF74" s="31"/>
      <c r="CG74" s="88"/>
      <c r="CH74" s="31"/>
      <c r="CI74" s="85"/>
      <c r="CJ74" s="85"/>
      <c r="CK74" s="85"/>
      <c r="CL74" s="31"/>
      <c r="CM74" s="88"/>
    </row>
    <row r="75" spans="1:216" x14ac:dyDescent="0.2">
      <c r="A75" s="2" t="s">
        <v>144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22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22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22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22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22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22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22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22">
        <v>44.6</v>
      </c>
      <c r="BS75" s="85">
        <v>45</v>
      </c>
      <c r="BT75" s="31">
        <v>49.3</v>
      </c>
      <c r="BU75" s="88"/>
      <c r="BV75" s="31"/>
      <c r="BW75" s="85">
        <v>46.3</v>
      </c>
      <c r="BX75" s="122">
        <v>49.8</v>
      </c>
      <c r="BY75" s="85">
        <v>62.6</v>
      </c>
      <c r="BZ75" s="31">
        <v>69</v>
      </c>
      <c r="CA75" s="88"/>
      <c r="CB75" s="31"/>
      <c r="CC75" s="85">
        <v>67.099999999999994</v>
      </c>
      <c r="CD75" s="122">
        <v>72.400000000000006</v>
      </c>
      <c r="CE75" s="85">
        <v>73.7</v>
      </c>
      <c r="CF75" s="31">
        <v>78.599999999999994</v>
      </c>
      <c r="CG75" s="88"/>
      <c r="CH75" s="31"/>
      <c r="CI75" s="85">
        <v>93.7</v>
      </c>
      <c r="CJ75" s="122">
        <v>96.7</v>
      </c>
      <c r="CK75" s="85">
        <v>101.7</v>
      </c>
      <c r="CL75" s="31">
        <v>104.4</v>
      </c>
      <c r="CM75" s="88"/>
    </row>
    <row r="76" spans="1:216" hidden="1" x14ac:dyDescent="0.2">
      <c r="A76" s="2" t="s">
        <v>32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22">
        <v>0</v>
      </c>
      <c r="AC76" s="31">
        <v>0</v>
      </c>
      <c r="AD76" s="31">
        <v>0</v>
      </c>
      <c r="AE76" s="88"/>
      <c r="AF76" s="31"/>
      <c r="AG76" s="85">
        <v>0</v>
      </c>
      <c r="AH76" s="122">
        <v>0</v>
      </c>
      <c r="AI76" s="31">
        <v>0</v>
      </c>
      <c r="AJ76" s="31">
        <v>0</v>
      </c>
      <c r="AK76" s="88"/>
      <c r="AL76" s="31"/>
      <c r="AM76" s="85">
        <v>0</v>
      </c>
      <c r="AN76" s="122">
        <v>0</v>
      </c>
      <c r="AO76" s="31">
        <v>0</v>
      </c>
      <c r="AP76" s="31">
        <v>0</v>
      </c>
      <c r="AQ76" s="88"/>
      <c r="AR76" s="31"/>
      <c r="AS76" s="85">
        <v>0</v>
      </c>
      <c r="AT76" s="122">
        <v>0</v>
      </c>
      <c r="AU76" s="31">
        <v>0</v>
      </c>
      <c r="AV76" s="31">
        <v>0</v>
      </c>
      <c r="AW76" s="88"/>
      <c r="AX76" s="31"/>
      <c r="AY76" s="85">
        <v>0</v>
      </c>
      <c r="AZ76" s="122">
        <v>0</v>
      </c>
      <c r="BA76" s="31">
        <v>0</v>
      </c>
      <c r="BB76" s="31">
        <v>0</v>
      </c>
      <c r="BC76" s="88"/>
      <c r="BD76" s="31"/>
      <c r="BE76" s="85">
        <v>0</v>
      </c>
      <c r="BF76" s="122">
        <v>0</v>
      </c>
      <c r="BG76" s="31">
        <v>0</v>
      </c>
      <c r="BH76" s="31">
        <v>0</v>
      </c>
      <c r="BI76" s="88"/>
      <c r="BJ76" s="31"/>
      <c r="BK76" s="85">
        <v>0</v>
      </c>
      <c r="BL76" s="122">
        <v>0</v>
      </c>
      <c r="BM76" s="31">
        <v>0</v>
      </c>
      <c r="BN76" s="31"/>
      <c r="BO76" s="88"/>
      <c r="BP76" s="31"/>
      <c r="BQ76" s="85">
        <v>0</v>
      </c>
      <c r="BR76" s="122"/>
      <c r="BS76" s="31"/>
      <c r="BT76" s="31"/>
      <c r="BU76" s="88"/>
      <c r="BV76" s="31"/>
      <c r="BW76" s="85">
        <v>0</v>
      </c>
      <c r="BX76" s="122"/>
      <c r="BY76" s="31"/>
      <c r="BZ76" s="31"/>
      <c r="CA76" s="88"/>
      <c r="CB76" s="31"/>
      <c r="CC76" s="85">
        <v>0</v>
      </c>
      <c r="CD76" s="122"/>
      <c r="CE76" s="31"/>
      <c r="CF76" s="31"/>
      <c r="CG76" s="88"/>
      <c r="CH76" s="31"/>
      <c r="CI76" s="85">
        <v>0</v>
      </c>
      <c r="CJ76" s="122"/>
      <c r="CK76" s="31"/>
      <c r="CL76" s="31"/>
      <c r="CM76" s="88"/>
    </row>
    <row r="77" spans="1:216" x14ac:dyDescent="0.2">
      <c r="A77" s="2" t="s">
        <v>52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22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22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22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22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22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22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22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22">
        <v>-4.2</v>
      </c>
      <c r="BS77" s="31">
        <v>-4.7</v>
      </c>
      <c r="BT77" s="31">
        <v>-5.4</v>
      </c>
      <c r="BU77" s="88"/>
      <c r="BV77" s="31"/>
      <c r="BW77" s="85">
        <v>0</v>
      </c>
      <c r="BX77" s="122">
        <v>0</v>
      </c>
      <c r="BY77" s="31">
        <v>0</v>
      </c>
      <c r="BZ77" s="31"/>
      <c r="CA77" s="88"/>
      <c r="CB77" s="31"/>
      <c r="CC77" s="85"/>
      <c r="CD77" s="122"/>
      <c r="CE77" s="31"/>
      <c r="CF77" s="31"/>
      <c r="CG77" s="88"/>
      <c r="CH77" s="31"/>
      <c r="CI77" s="85"/>
      <c r="CJ77" s="122"/>
      <c r="CK77" s="31"/>
      <c r="CL77" s="31"/>
      <c r="CM77" s="88"/>
    </row>
    <row r="78" spans="1:216" s="56" customFormat="1" ht="18.75" customHeight="1" x14ac:dyDescent="0.2">
      <c r="C78" s="123">
        <f>SUM(C70:C77)</f>
        <v>421.744966442953</v>
      </c>
      <c r="D78" s="123">
        <f>SUM(D70:D77)</f>
        <v>446.44295302013427</v>
      </c>
      <c r="E78" s="123">
        <f>SUM(E70:E77)</f>
        <v>469.6644295302014</v>
      </c>
      <c r="F78" s="123">
        <f>SUM(F70:F77)</f>
        <v>469.66442953020135</v>
      </c>
      <c r="G78" s="124"/>
      <c r="H78" s="123"/>
      <c r="I78" s="123">
        <f>SUM(I70:I77)</f>
        <v>530.33557046979854</v>
      </c>
      <c r="J78" s="123">
        <f>SUM(J70:J77)</f>
        <v>512.48322147651004</v>
      </c>
      <c r="K78" s="123">
        <f>SUM(K70:K77)</f>
        <v>516.1073825503355</v>
      </c>
      <c r="L78" s="123">
        <f>SUM(L70:L77)</f>
        <v>513.95973154362412</v>
      </c>
      <c r="M78" s="124"/>
      <c r="N78" s="123"/>
      <c r="O78" s="123">
        <f>SUM(O70:O77)</f>
        <v>656.91275167785216</v>
      </c>
      <c r="P78" s="123">
        <f>SUM(P70:P77)</f>
        <v>696.77852348993281</v>
      </c>
      <c r="Q78" s="123">
        <f>SUM(Q70:Q77)</f>
        <v>710.73825503355704</v>
      </c>
      <c r="R78" s="123">
        <f>SUM(R70:R77)</f>
        <v>671.81208053691262</v>
      </c>
      <c r="S78" s="124"/>
      <c r="T78" s="123"/>
      <c r="U78" s="123">
        <f>SUM(U70:U77)</f>
        <v>750.46979865771812</v>
      </c>
      <c r="V78" s="123">
        <f>SUM(V70:V77)</f>
        <v>835.16778523489927</v>
      </c>
      <c r="W78" s="123">
        <f>SUM(W70:W77)</f>
        <v>867.78523489932877</v>
      </c>
      <c r="X78" s="123">
        <f>SUM(X70:X77)</f>
        <v>768.45637583892608</v>
      </c>
      <c r="Y78" s="124"/>
      <c r="Z78" s="123"/>
      <c r="AA78" s="123">
        <f>SUM(AA70:AA77)</f>
        <v>773.91946308724823</v>
      </c>
      <c r="AB78" s="143">
        <f>SUM(AB70:AB77)</f>
        <v>822.68456375838923</v>
      </c>
      <c r="AC78" s="123">
        <f>SUM(AC70:AC77)</f>
        <v>840.26845637583892</v>
      </c>
      <c r="AD78" s="123">
        <f>SUM(AD70:AD77)</f>
        <v>867.78523489932888</v>
      </c>
      <c r="AE78" s="124"/>
      <c r="AF78" s="123"/>
      <c r="AG78" s="123">
        <f>SUM(AG70:AG77)</f>
        <v>969.93288590604016</v>
      </c>
      <c r="AH78" s="143">
        <f>SUM(AH70:AH77)</f>
        <v>1052.7516778523491</v>
      </c>
      <c r="AI78" s="123">
        <f>SUM(AI70:AI77)</f>
        <v>1093.020134228188</v>
      </c>
      <c r="AJ78" s="123">
        <f>SUM(AJ70:AJ77)</f>
        <v>1103.0872483221476</v>
      </c>
      <c r="AK78" s="124"/>
      <c r="AL78" s="123"/>
      <c r="AM78" s="123">
        <f>SUM(AM70:AM77)</f>
        <v>1183.0872483221476</v>
      </c>
      <c r="AN78" s="143">
        <f>SUM(AN70:AN77)</f>
        <v>1198.3892617449662</v>
      </c>
      <c r="AO78" s="123">
        <f>SUM(AO70:AO77)</f>
        <v>1178.1208053691273</v>
      </c>
      <c r="AP78" s="123">
        <f>SUM(AP70:AP77)</f>
        <v>1140.4026845637584</v>
      </c>
      <c r="AQ78" s="124"/>
      <c r="AR78" s="123"/>
      <c r="AS78" s="123">
        <f>SUM(AS70:AS77)</f>
        <v>1162.5503355704698</v>
      </c>
      <c r="AT78" s="143">
        <f>SUM(AT70:AT77)</f>
        <v>1107.3825503355704</v>
      </c>
      <c r="AU78" s="123">
        <f>SUM(AU70:AU77)</f>
        <v>1128.5906040268455</v>
      </c>
      <c r="AV78" s="123">
        <f>SUM(AV70:AV77)</f>
        <v>1026.3087248322147</v>
      </c>
      <c r="AW78" s="124"/>
      <c r="AX78" s="123"/>
      <c r="AY78" s="123">
        <f>SUM(AY70:AY77)</f>
        <v>1121.4765100671141</v>
      </c>
      <c r="AZ78" s="123">
        <f>SUM(AZ70:AZ77)</f>
        <v>1134.0939597315437</v>
      </c>
      <c r="BA78" s="123">
        <f>SUM(BA70:BA77)</f>
        <v>1123.6241610738255</v>
      </c>
      <c r="BB78" s="123">
        <f>SUM(BB70:BB77)</f>
        <v>1044.9664429530201</v>
      </c>
      <c r="BC78" s="124"/>
      <c r="BD78" s="123"/>
      <c r="BE78" s="144">
        <f>SUM(BE70:BE77)</f>
        <v>1020.8053691275167</v>
      </c>
      <c r="BF78" s="144">
        <f>SUM(BF70:BF77)</f>
        <v>1033.4228187919464</v>
      </c>
      <c r="BG78" s="144">
        <f>SUM(BG70:BG77)</f>
        <v>1078.9261744966443</v>
      </c>
      <c r="BH78" s="144">
        <f>SUM(BH70:BH77)</f>
        <v>954.36241610738261</v>
      </c>
      <c r="BI78" s="124"/>
      <c r="BJ78" s="123"/>
      <c r="BK78" s="144">
        <f>SUM(BK70:BK77)</f>
        <v>1025.234899328859</v>
      </c>
      <c r="BL78" s="144">
        <f>SUM(BL70:BL77)</f>
        <v>996.37583892617454</v>
      </c>
      <c r="BM78" s="144">
        <f>SUM(BM70:BM77)</f>
        <v>967.24832214765092</v>
      </c>
      <c r="BN78" s="144">
        <f>SUM(BN70:BN77)</f>
        <v>898.40000000000009</v>
      </c>
      <c r="BO78" s="124"/>
      <c r="BP78" s="123"/>
      <c r="BQ78" s="144">
        <f>SUM(BQ70:BQ77)</f>
        <v>974.9</v>
      </c>
      <c r="BR78" s="144">
        <f>SUM(BR70:BR77)</f>
        <v>989.9</v>
      </c>
      <c r="BS78" s="144">
        <f>SUM(BS70:BS77)</f>
        <v>934.8</v>
      </c>
      <c r="BT78" s="144">
        <f>SUM(BT70:BT77)</f>
        <v>882.99999999999989</v>
      </c>
      <c r="BU78" s="124"/>
      <c r="BV78" s="123"/>
      <c r="BW78" s="144">
        <f>SUM(BW70:BW77)</f>
        <v>1588.3</v>
      </c>
      <c r="BX78" s="144">
        <f>SUM(BX70:BX77)</f>
        <v>1724.4999999999998</v>
      </c>
      <c r="BY78" s="144">
        <f>SUM(BY70:BY77)</f>
        <v>1713.4</v>
      </c>
      <c r="BZ78" s="144">
        <f>SUM(BZ70:BZ77)</f>
        <v>1109.5000000000002</v>
      </c>
      <c r="CA78" s="124"/>
      <c r="CB78" s="123"/>
      <c r="CC78" s="144">
        <f>SUM(CC70:CC77)</f>
        <v>1207.5999999999999</v>
      </c>
      <c r="CD78" s="144">
        <f>SUM(CD70:CD77)</f>
        <v>1176.7</v>
      </c>
      <c r="CE78" s="144">
        <f>SUM(CE70:CE77)</f>
        <v>1232</v>
      </c>
      <c r="CF78" s="144">
        <f>SUM(CF70:CF77)</f>
        <v>1143.8999999999999</v>
      </c>
      <c r="CG78" s="124"/>
      <c r="CH78" s="123"/>
      <c r="CI78" s="144">
        <f>SUM(CI70:CI77)</f>
        <v>1207.2</v>
      </c>
      <c r="CJ78" s="144">
        <f>SUM(CJ70:CJ77)</f>
        <v>1180.2</v>
      </c>
      <c r="CK78" s="144">
        <f>SUM(CK70:CK77)</f>
        <v>1156.2</v>
      </c>
      <c r="CL78" s="144">
        <f>SUM(CL70:CL77)</f>
        <v>1046</v>
      </c>
      <c r="CM78" s="124"/>
    </row>
    <row r="79" spans="1:216" s="63" customFormat="1" ht="18.75" customHeight="1" x14ac:dyDescent="0.2">
      <c r="A79" s="63" t="s">
        <v>51</v>
      </c>
      <c r="C79" s="67"/>
      <c r="D79" s="67"/>
      <c r="E79" s="67"/>
      <c r="F79" s="67">
        <v>0.14695099596724917</v>
      </c>
      <c r="G79" s="68"/>
      <c r="I79" s="67">
        <f>(D68+E68+F68+I68+'OLD Valuation 2005-2019'!H20+'OLD Valuation 2005-2019'!H21)/AVERAGE(C78:I78)</f>
        <v>0.15243727392777176</v>
      </c>
      <c r="J79" s="67">
        <f>(E68+F68+I68+J68+'OLD Valuation 2005-2019'!I20+'OLD Valuation 2005-2019'!I21)/AVERAGE(D78:J78)</f>
        <v>0.165809981760902</v>
      </c>
      <c r="K79" s="67">
        <f>(F68+I68+J68+K68+'OLD Valuation 2005-2019'!J20+'OLD Valuation 2005-2019'!J21)/AVERAGE(E78:K78)</f>
        <v>0.17703632065334191</v>
      </c>
      <c r="L79" s="67">
        <f>(M68+'OLD Valuation 2005-2019'!K20+'OLD Valuation 2005-2019'!K21)/(AVERAGE(F78:L78))</f>
        <v>0.18741421180445578</v>
      </c>
      <c r="M79" s="68"/>
      <c r="O79" s="67">
        <f>(J68+K68+L68+O68+'OLD Valuation 2005-2019'!M20+'OLD Valuation 2005-2019'!M21)/AVERAGE(I78:O78)</f>
        <v>0.19103112553473967</v>
      </c>
      <c r="P79" s="67">
        <f>(K68+L68+O68+P68+'OLD Valuation 2005-2019'!N20+'OLD Valuation 2005-2019'!N21)/AVERAGE(J78:P78)</f>
        <v>0.20670158038652273</v>
      </c>
      <c r="Q79" s="67">
        <f>(L68+O68+P68+Q68+'OLD Valuation 2005-2019'!O20+'OLD Valuation 2005-2019'!O21)/AVERAGE(K78:Q78)</f>
        <v>0.20343541250975974</v>
      </c>
      <c r="R79" s="67">
        <f>(S68+'OLD Valuation 2005-2019'!P20+'OLD Valuation 2005-2019'!P21)/(AVERAGE(L78:R78))</f>
        <v>0.21950111505740483</v>
      </c>
      <c r="S79" s="68"/>
      <c r="U79" s="67">
        <f>(P68+Q68+R68+U68+'OLD Valuation 2005-2019'!R20+'OLD Valuation 2005-2019'!R21)/AVERAGE(O78:U78)</f>
        <v>0.21134893748075151</v>
      </c>
      <c r="V79" s="67">
        <f>(Q68+R68+U68+V68+'OLD Valuation 2005-2019'!S20+'OLD Valuation 2005-2019'!S21)/AVERAGE(P78:V78)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  <c r="CC79" s="69">
        <v>7.8E-2</v>
      </c>
      <c r="CD79" s="69">
        <v>4.8000000000000001E-2</v>
      </c>
      <c r="CE79" s="69">
        <v>2.5000000000000001E-2</v>
      </c>
      <c r="CF79" s="69">
        <v>-7.0000000000000001E-3</v>
      </c>
      <c r="CG79" s="68"/>
      <c r="CI79" s="69">
        <v>-2.5999999999999999E-2</v>
      </c>
      <c r="CJ79" s="69">
        <v>-4.3999999999999997E-2</v>
      </c>
      <c r="CK79" s="69">
        <v>-0.06</v>
      </c>
      <c r="CL79" s="69">
        <v>-6.2E-2</v>
      </c>
      <c r="CM79" s="68"/>
    </row>
    <row r="80" spans="1:216" s="5" customFormat="1" ht="18.75" customHeight="1" x14ac:dyDescent="0.2">
      <c r="A80" s="5" t="s">
        <v>152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(S61+'OLD Valuation 2005-2019'!P20+'OLD Valuation 2005-2019'!P19)/(AVERAGE(L71:R71))</f>
        <v>0.23615406241214507</v>
      </c>
      <c r="S80" s="64"/>
      <c r="U80" s="28">
        <f>(P61+Q61+R61+U61+'OLD Valuation 2005-2019'!R20)/AVERAGE(O71:U71)</f>
        <v>0.21296911325141146</v>
      </c>
      <c r="V80" s="28">
        <f>(Q61+R61+U61+V61+'OLD Valuation 2005-2019'!S20)/AVERAGE(P71:V71)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CC80" s="29">
        <v>5.2999999999999999E-2</v>
      </c>
      <c r="CD80" s="29">
        <v>4.1000000000000002E-2</v>
      </c>
      <c r="CE80" s="29">
        <v>2.9000000000000001E-2</v>
      </c>
      <c r="CF80" s="29">
        <v>-8.0000000000000002E-3</v>
      </c>
      <c r="CG80" s="64"/>
      <c r="CI80" s="29">
        <v>-2.9000000000000001E-2</v>
      </c>
      <c r="CJ80" s="29">
        <v>-5.0999999999999997E-2</v>
      </c>
      <c r="CK80" s="29">
        <v>-7.0999999999999994E-2</v>
      </c>
      <c r="CL80" s="29">
        <v>-7.1999999999999995E-2</v>
      </c>
      <c r="CM80" s="64"/>
      <c r="HH80" s="27"/>
    </row>
    <row r="81" spans="1:91" s="177" customFormat="1" ht="18.75" customHeight="1" x14ac:dyDescent="0.2">
      <c r="A81" s="177" t="s">
        <v>87</v>
      </c>
      <c r="C81" s="178"/>
      <c r="D81" s="178"/>
      <c r="E81" s="178"/>
      <c r="F81" s="178">
        <v>0.14803516956755788</v>
      </c>
      <c r="G81" s="179"/>
      <c r="I81" s="178">
        <f>(D62+E62+F62+I62+'OLD Valuation 2005-2019'!H20+'OLD Valuation 2005-2019'!H21)/AVERAGE(C72:I72)</f>
        <v>0.14395229982964225</v>
      </c>
      <c r="J81" s="178">
        <f>(E62+F62+I62+J62+'OLD Valuation 2005-2019'!I20+'OLD Valuation 2005-2019'!I21)/AVERAGE(D72:J72)</f>
        <v>0.14823451032644905</v>
      </c>
      <c r="K81" s="178">
        <f>(F62+I62+J62+K62+'OLD Valuation 2005-2019'!J20+'OLD Valuation 2005-2019'!J21)/AVERAGE(E72:K72)</f>
        <v>0.15078507933870566</v>
      </c>
      <c r="L81" s="178">
        <f>(M62+'OLD Valuation 2005-2019'!K21+'OLD Valuation 2005-2019'!K20)/(AVERAGE(F72:L72))</f>
        <v>0.16604400166044003</v>
      </c>
      <c r="M81" s="179"/>
      <c r="O81" s="178">
        <f>(J62+K62+L62+O62+'OLD Valuation 2005-2019'!M20+'OLD Valuation 2005-2019'!M21)/AVERAGE(I72:O72)</f>
        <v>0.18078297730861939</v>
      </c>
      <c r="P81" s="178">
        <f>(K62+L62+O62+P62+'OLD Valuation 2005-2019'!N20+'OLD Valuation 2005-2019'!N21)/AVERAGE(J72:P72)</f>
        <v>0.18875838926174496</v>
      </c>
      <c r="Q81" s="178">
        <f>(L62+O62+P62+Q62+'OLD Valuation 2005-2019'!O20+'OLD Valuation 2005-2019'!O21)/AVERAGE(K72:Q72)</f>
        <v>0.18647439085032322</v>
      </c>
      <c r="R81" s="178">
        <f>S62/(AVERAGE(L72:R72))</f>
        <v>0.20141890238930113</v>
      </c>
      <c r="S81" s="179"/>
      <c r="U81" s="178">
        <f>(P62+Q62+R62+U62)/AVERAGE(O72:U72)</f>
        <v>0.19734752223634056</v>
      </c>
      <c r="V81" s="178">
        <f>(Q62+R62+U62+V62)/AVERAGE(P72:V72)</f>
        <v>0.19360527526453</v>
      </c>
      <c r="W81" s="178">
        <f>(R62+U62+V62+W62+31/7.45)/AVERAGE(Q72:W72)</f>
        <v>0.18716181157808906</v>
      </c>
      <c r="X81" s="178">
        <f>(Y62+50/7.45)/(AVERAGE(R72:X72))</f>
        <v>0.1601656134234038</v>
      </c>
      <c r="Y81" s="179"/>
      <c r="AA81" s="180">
        <f>(V62+W62+X62+AA62+50/7.45+20/7.45)/AVERAGE(U72:AA72)</f>
        <v>0.13548020995885943</v>
      </c>
      <c r="AB81" s="178">
        <f>(W62+X62+AA62+AB62+50/7.45+20/7.45+57/7.45)/AVERAGE(V72:AB72)</f>
        <v>0.11065399347425164</v>
      </c>
      <c r="AC81" s="178">
        <f>(X62+AA62+AB62+AC62+19/7.45+20/7.45+57/7.45+38/7.45)/AVERAGE(W72:AC72)</f>
        <v>0.10779616724738676</v>
      </c>
      <c r="AD81" s="178">
        <f>(AE62+152/7.45)/(AVERAGE(X72:AD72))</f>
        <v>0.10892193308550187</v>
      </c>
      <c r="AE81" s="179"/>
      <c r="AG81" s="180">
        <f>(AB62+AC62+AD62+AG62+153/7.45)/AVERAGE(AA72:AG72)</f>
        <v>0.13518546104573215</v>
      </c>
      <c r="AH81" s="180">
        <f>(AC62+AD62+AG62+AH62+121/7.45)/AVERAGE(AB72:AH72)</f>
        <v>0.15853119008995722</v>
      </c>
      <c r="AI81" s="180">
        <f>(AD62+AG62+AH62+AI62+110/7.45)/AVERAGE(AC72:AI72)</f>
        <v>0.15927272727272726</v>
      </c>
      <c r="AJ81" s="178">
        <f>(AK62+86/7.45)/(AVERAGE(AD72:AJ72))</f>
        <v>0.15084985835694054</v>
      </c>
      <c r="AK81" s="179"/>
      <c r="AM81" s="180">
        <f>(AH62+AI62+AJ62+AM62+69/7.45)/AVERAGE(AG72:AM72)</f>
        <v>0.14698795180722893</v>
      </c>
      <c r="AN81" s="180">
        <f>(AI62+AJ62+AM62+AN62+54/7.45)/AVERAGE(AH72:AN72)</f>
        <v>0.14733840304182511</v>
      </c>
      <c r="AO81" s="180">
        <f>(AJ62+AM62+AN62+AO62+31/7.45)/AVERAGE(AI72:AO72)</f>
        <v>0.15264109258887326</v>
      </c>
      <c r="AP81" s="178">
        <f>(AQ62+33/7.45)/(AVERAGE(AJ72:AP72))</f>
        <v>0.17080339647289353</v>
      </c>
      <c r="AQ81" s="179"/>
      <c r="AS81" s="180">
        <f>(AN62+AO62+AP62+AS62+29/7.45)/AVERAGE(AM72:AS72)</f>
        <v>0.17041841536309293</v>
      </c>
      <c r="AT81" s="180">
        <f>(AO62+AP62+AS62+AT62+31/7.45)/AVERAGE(AN72:AT72)</f>
        <v>0.16660450080815614</v>
      </c>
      <c r="AU81" s="180">
        <f>(AP62+AS62+AT62+AU62+39/7.45)/AVERAGE(AO72:AU72)</f>
        <v>0.16124097417696728</v>
      </c>
      <c r="AV81" s="180">
        <f>(AS62+AT62+AU62+AV62+37/7.45)/AVERAGE(AP72:AV72)</f>
        <v>0.17100073946265715</v>
      </c>
      <c r="AW81" s="179"/>
      <c r="AY81" s="180">
        <f>(AT62+AU62+AV62+AY62+36/7.45)/AVERAGE(AS72:AY72)</f>
        <v>0.16737935247403785</v>
      </c>
      <c r="AZ81" s="180">
        <f>(AU62+AV62+AY62+AZ62+27/7.45)/AVERAGE(AT72:AZ72)</f>
        <v>0.17228805834092983</v>
      </c>
      <c r="BA81" s="180">
        <f>(AV62+AY62+AZ62+BA62+12/7.45)/AVERAGE(AU72:BA72)</f>
        <v>0.17389174626500117</v>
      </c>
      <c r="BB81" s="180">
        <f>(AY62+AZ62+BA62+BB62)/AVERAGE(AV72:BB72)</f>
        <v>0.17469954156857884</v>
      </c>
      <c r="BC81" s="179"/>
      <c r="BE81" s="180">
        <f>(AZ62+BA62+BB62+BE62-96.9/7.45)/AVERAGE(AY72:BE72)</f>
        <v>0.17956495098039219</v>
      </c>
      <c r="BF81" s="180">
        <f>(BA62+BB62+BE62+BF62-96.9/7.45)/AVERAGE(AZ72:BF72)</f>
        <v>0.17826193841804439</v>
      </c>
      <c r="BG81" s="180">
        <f>(BB62+BE62+BF62+BG62-96/7.45)/AVERAGE(BA72:BG72)</f>
        <v>0.17350254429526088</v>
      </c>
      <c r="BH81" s="180">
        <f>(BE62+BF62+BG62+BH62-96/7.45)/AVERAGE(BB72:BH72)</f>
        <v>0.17621548986073787</v>
      </c>
      <c r="BI81" s="179"/>
      <c r="BK81" s="180">
        <f>(BF62+BG62+BH62+BK62)/AVERAGE(BE72:BK72)</f>
        <v>0.15943390686476011</v>
      </c>
      <c r="BL81" s="180">
        <f>(BG62+BH62+BK62+BL62)/AVERAGE(BF72:BL72)</f>
        <v>0.15071525885558584</v>
      </c>
      <c r="BM81" s="180">
        <f>(BH62+BK62+BL62+BM62)/AVERAGE(BG72:BM72)</f>
        <v>0.14791919637929135</v>
      </c>
      <c r="BN81" s="180">
        <v>0.129</v>
      </c>
      <c r="BO81" s="179"/>
      <c r="BQ81" s="180">
        <f>(BL62+BM62+BN62+BQ62)/AVERAGE(BK72:BQ72)</f>
        <v>0.1253858024691358</v>
      </c>
      <c r="BR81" s="180">
        <f>(BM62+BN62+BQ62+BR62)/AVERAGE(BL72:BR72)</f>
        <v>0.12719056905949569</v>
      </c>
      <c r="BS81" s="180">
        <v>0.13500000000000001</v>
      </c>
      <c r="BT81" s="180">
        <v>0.14599999999999999</v>
      </c>
      <c r="BU81" s="179"/>
      <c r="BW81" s="180">
        <f>(BR62+BS62+BT62+BW62+26)/AVERAGE(BQ72:BW72)</f>
        <v>0.17716759712885954</v>
      </c>
      <c r="BX81" s="180">
        <f>(BS62+BT62+BW62+BX62+28.6)/AVERAGE(BR72:BX72)</f>
        <v>0.20269498686764875</v>
      </c>
      <c r="BY81" s="180">
        <f>(BT62+BU62+BX62+BY62+16.2)/AVERAGE(BS72:BY72)</f>
        <v>0.259208208898078</v>
      </c>
      <c r="BZ81" s="180"/>
      <c r="CA81" s="179"/>
      <c r="CC81" s="180"/>
      <c r="CD81" s="180"/>
      <c r="CE81" s="180"/>
      <c r="CF81" s="180"/>
      <c r="CG81" s="179"/>
      <c r="CI81" s="180"/>
      <c r="CJ81" s="180"/>
      <c r="CK81" s="180"/>
      <c r="CL81" s="180"/>
      <c r="CM81" s="179"/>
    </row>
    <row r="82" spans="1:91" s="27" customFormat="1" ht="3.95" customHeight="1" x14ac:dyDescent="0.2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75"/>
      <c r="AH82" s="176"/>
      <c r="AI82" s="28"/>
      <c r="AJ82" s="28"/>
      <c r="AK82" s="29"/>
    </row>
    <row r="83" spans="1:91" ht="11.1" customHeight="1" x14ac:dyDescent="0.2">
      <c r="A83" s="146" t="s">
        <v>132</v>
      </c>
      <c r="AG83" s="7"/>
      <c r="AH83" s="7"/>
      <c r="AQ83" s="145"/>
      <c r="AT83" s="7"/>
      <c r="AW83" s="145"/>
      <c r="AZ83" s="7"/>
      <c r="BA83" s="7"/>
      <c r="BB83" s="145"/>
      <c r="BC83" s="145"/>
      <c r="BE83" s="7"/>
      <c r="BF83" s="7"/>
      <c r="BG83" s="7"/>
      <c r="BH83" s="145"/>
      <c r="BI83" s="145"/>
      <c r="BK83" s="7"/>
      <c r="BL83" s="7"/>
      <c r="BM83" s="7"/>
      <c r="BO83" s="145"/>
      <c r="BQ83" s="7"/>
      <c r="BR83" s="7"/>
      <c r="BS83" s="7"/>
      <c r="BU83" s="145"/>
      <c r="BV83" s="152"/>
      <c r="BW83" s="153" t="s">
        <v>155</v>
      </c>
      <c r="BX83" s="7"/>
      <c r="BY83" s="7"/>
      <c r="CA83" s="145"/>
      <c r="CC83" s="153"/>
      <c r="CD83" s="7"/>
      <c r="CE83" s="7"/>
      <c r="CG83" s="145"/>
      <c r="CI83" s="153"/>
      <c r="CJ83" s="7"/>
      <c r="CK83" s="7"/>
      <c r="CM83" s="145"/>
    </row>
    <row r="84" spans="1:91" ht="11.1" customHeight="1" x14ac:dyDescent="0.2">
      <c r="A84" s="148" t="s">
        <v>158</v>
      </c>
      <c r="AQ84" s="3"/>
      <c r="BW84" s="147" t="s">
        <v>156</v>
      </c>
      <c r="CC84" s="147"/>
      <c r="CI84" s="147"/>
    </row>
    <row r="85" spans="1:91" ht="11.1" customHeight="1" x14ac:dyDescent="0.2">
      <c r="A85" s="148" t="s">
        <v>159</v>
      </c>
      <c r="AQ85" s="3"/>
      <c r="BK85" s="7"/>
      <c r="BL85" s="10"/>
      <c r="BQ85" s="7"/>
      <c r="BR85" s="7"/>
      <c r="BW85" s="154" t="s">
        <v>157</v>
      </c>
      <c r="BX85" s="7"/>
      <c r="CC85" s="154"/>
      <c r="CD85" s="7"/>
      <c r="CF85" s="85"/>
      <c r="CI85" s="154"/>
      <c r="CJ85" s="7"/>
      <c r="CL85" s="85"/>
    </row>
    <row r="86" spans="1:91" x14ac:dyDescent="0.2">
      <c r="AQ86" s="145"/>
      <c r="AW86" s="145"/>
      <c r="BB86" s="145"/>
      <c r="BC86" s="145"/>
      <c r="BH86" s="145"/>
      <c r="BI86" s="145"/>
      <c r="BK86" s="7"/>
      <c r="BO86" s="145"/>
      <c r="BQ86" s="7"/>
      <c r="BU86" s="145"/>
      <c r="BW86" s="7"/>
      <c r="CA86" s="145"/>
      <c r="CC86" s="7"/>
      <c r="CF86" s="85"/>
      <c r="CG86" s="145"/>
      <c r="CI86" s="7"/>
      <c r="CL86" s="85"/>
      <c r="CM86" s="145"/>
    </row>
  </sheetData>
  <mergeCells count="30"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I1" sqref="CI1:CM1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9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9.140625" style="2" customWidth="1"/>
    <col min="77" max="16384" width="9.140625" style="2"/>
  </cols>
  <sheetData>
    <row r="1" spans="1:76" x14ac:dyDescent="0.2">
      <c r="C1" s="276"/>
      <c r="D1" s="276"/>
      <c r="E1" s="276"/>
      <c r="F1" s="276"/>
      <c r="H1" s="276"/>
      <c r="I1" s="276"/>
      <c r="J1" s="276"/>
      <c r="K1" s="276"/>
      <c r="M1" s="276"/>
      <c r="N1" s="276"/>
      <c r="O1" s="276"/>
      <c r="P1" s="276"/>
      <c r="R1" s="276"/>
      <c r="S1" s="276"/>
      <c r="T1" s="276"/>
      <c r="U1" s="276"/>
      <c r="W1" s="276"/>
      <c r="X1" s="276"/>
      <c r="Y1" s="276"/>
      <c r="Z1" s="276"/>
      <c r="AB1" s="276"/>
      <c r="AC1" s="276"/>
      <c r="AD1" s="276"/>
      <c r="AE1" s="276"/>
      <c r="AG1" s="276"/>
      <c r="AH1" s="276"/>
      <c r="AI1" s="276"/>
      <c r="AJ1" s="276"/>
      <c r="AL1" s="276"/>
      <c r="AM1" s="276"/>
      <c r="AN1" s="276"/>
      <c r="AO1" s="276"/>
      <c r="AQ1" s="276"/>
      <c r="AR1" s="276"/>
      <c r="AS1" s="276"/>
      <c r="AT1" s="276"/>
      <c r="AV1" s="276"/>
      <c r="AW1" s="276"/>
      <c r="AX1" s="276"/>
      <c r="AY1" s="276"/>
      <c r="BA1" s="276"/>
      <c r="BB1" s="276"/>
      <c r="BC1" s="276"/>
      <c r="BD1" s="276"/>
      <c r="BF1" s="276"/>
      <c r="BG1" s="276"/>
      <c r="BH1" s="276"/>
      <c r="BI1" s="276"/>
      <c r="BK1" s="275" t="s">
        <v>167</v>
      </c>
      <c r="BL1" s="275"/>
      <c r="BM1" s="275"/>
      <c r="BN1" s="275"/>
      <c r="BP1" s="275"/>
      <c r="BQ1" s="275"/>
      <c r="BR1" s="275"/>
      <c r="BS1" s="275"/>
      <c r="BU1" s="275"/>
      <c r="BV1" s="275"/>
      <c r="BW1" s="275"/>
      <c r="BX1" s="275"/>
    </row>
    <row r="2" spans="1:76" x14ac:dyDescent="0.2">
      <c r="A2" s="1" t="s">
        <v>154</v>
      </c>
      <c r="C2" s="274">
        <v>2005</v>
      </c>
      <c r="D2" s="274"/>
      <c r="E2" s="274"/>
      <c r="F2" s="274"/>
      <c r="H2" s="274">
        <v>2006</v>
      </c>
      <c r="I2" s="274"/>
      <c r="J2" s="274"/>
      <c r="K2" s="274"/>
      <c r="M2" s="274">
        <v>2007</v>
      </c>
      <c r="N2" s="274"/>
      <c r="O2" s="274"/>
      <c r="P2" s="274"/>
      <c r="R2" s="274">
        <v>2008</v>
      </c>
      <c r="S2" s="274"/>
      <c r="T2" s="274"/>
      <c r="U2" s="274"/>
      <c r="W2" s="274">
        <v>2009</v>
      </c>
      <c r="X2" s="274"/>
      <c r="Y2" s="274"/>
      <c r="Z2" s="274"/>
      <c r="AB2" s="274">
        <v>2010</v>
      </c>
      <c r="AC2" s="274"/>
      <c r="AD2" s="274"/>
      <c r="AE2" s="274"/>
      <c r="AG2" s="274">
        <v>2011</v>
      </c>
      <c r="AH2" s="274"/>
      <c r="AI2" s="274"/>
      <c r="AJ2" s="274"/>
      <c r="AL2" s="274">
        <v>2012</v>
      </c>
      <c r="AM2" s="274"/>
      <c r="AN2" s="274"/>
      <c r="AO2" s="274"/>
      <c r="AQ2" s="274">
        <v>2013</v>
      </c>
      <c r="AR2" s="274"/>
      <c r="AS2" s="274"/>
      <c r="AT2" s="274"/>
      <c r="AV2" s="274">
        <v>2014</v>
      </c>
      <c r="AW2" s="274"/>
      <c r="AX2" s="274"/>
      <c r="AY2" s="274"/>
      <c r="BA2" s="274">
        <v>2015</v>
      </c>
      <c r="BB2" s="274"/>
      <c r="BC2" s="274"/>
      <c r="BD2" s="274"/>
      <c r="BF2" s="274">
        <v>2016</v>
      </c>
      <c r="BG2" s="274"/>
      <c r="BH2" s="274"/>
      <c r="BI2" s="274"/>
      <c r="BK2" s="274">
        <v>2017</v>
      </c>
      <c r="BL2" s="274"/>
      <c r="BM2" s="274"/>
      <c r="BN2" s="274"/>
      <c r="BP2" s="274">
        <v>2018</v>
      </c>
      <c r="BQ2" s="274"/>
      <c r="BR2" s="274"/>
      <c r="BS2" s="274"/>
      <c r="BU2" s="274">
        <v>2019</v>
      </c>
      <c r="BV2" s="274"/>
      <c r="BW2" s="274"/>
      <c r="BX2" s="274"/>
    </row>
    <row r="3" spans="1:76" s="170" customFormat="1" x14ac:dyDescent="0.2">
      <c r="A3" s="169" t="s">
        <v>110</v>
      </c>
      <c r="C3" s="172" t="s">
        <v>10</v>
      </c>
      <c r="D3" s="172" t="s">
        <v>11</v>
      </c>
      <c r="E3" s="172" t="s">
        <v>12</v>
      </c>
      <c r="F3" s="172" t="s">
        <v>13</v>
      </c>
      <c r="G3" s="172"/>
      <c r="H3" s="172" t="s">
        <v>10</v>
      </c>
      <c r="I3" s="172" t="s">
        <v>11</v>
      </c>
      <c r="J3" s="172" t="s">
        <v>12</v>
      </c>
      <c r="K3" s="172" t="s">
        <v>13</v>
      </c>
      <c r="L3" s="172"/>
      <c r="M3" s="172" t="s">
        <v>10</v>
      </c>
      <c r="N3" s="172" t="s">
        <v>11</v>
      </c>
      <c r="O3" s="172" t="s">
        <v>12</v>
      </c>
      <c r="P3" s="172" t="s">
        <v>13</v>
      </c>
      <c r="Q3" s="172"/>
      <c r="R3" s="172" t="s">
        <v>10</v>
      </c>
      <c r="S3" s="172" t="s">
        <v>11</v>
      </c>
      <c r="T3" s="172" t="s">
        <v>12</v>
      </c>
      <c r="U3" s="172" t="s">
        <v>13</v>
      </c>
      <c r="V3" s="172"/>
      <c r="W3" s="172" t="s">
        <v>10</v>
      </c>
      <c r="X3" s="172" t="s">
        <v>11</v>
      </c>
      <c r="Y3" s="172" t="s">
        <v>12</v>
      </c>
      <c r="Z3" s="172" t="s">
        <v>13</v>
      </c>
      <c r="AA3" s="172"/>
      <c r="AB3" s="172" t="s">
        <v>10</v>
      </c>
      <c r="AC3" s="172" t="s">
        <v>11</v>
      </c>
      <c r="AD3" s="172" t="s">
        <v>12</v>
      </c>
      <c r="AE3" s="172" t="s">
        <v>13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/>
      <c r="AL3" s="172" t="s">
        <v>10</v>
      </c>
      <c r="AM3" s="172" t="s">
        <v>11</v>
      </c>
      <c r="AN3" s="172" t="s">
        <v>12</v>
      </c>
      <c r="AO3" s="172" t="s">
        <v>13</v>
      </c>
      <c r="AP3" s="172"/>
      <c r="AQ3" s="172" t="s">
        <v>10</v>
      </c>
      <c r="AR3" s="172" t="s">
        <v>11</v>
      </c>
      <c r="AS3" s="172" t="s">
        <v>12</v>
      </c>
      <c r="AT3" s="172" t="s">
        <v>13</v>
      </c>
      <c r="AU3" s="172"/>
      <c r="AV3" s="172" t="s">
        <v>10</v>
      </c>
      <c r="AW3" s="172" t="s">
        <v>11</v>
      </c>
      <c r="AX3" s="172" t="s">
        <v>12</v>
      </c>
      <c r="AY3" s="172" t="s">
        <v>13</v>
      </c>
      <c r="AZ3" s="172"/>
      <c r="BA3" s="172" t="s">
        <v>10</v>
      </c>
      <c r="BB3" s="172" t="s">
        <v>11</v>
      </c>
      <c r="BC3" s="172" t="s">
        <v>12</v>
      </c>
      <c r="BD3" s="172" t="s">
        <v>13</v>
      </c>
      <c r="BE3" s="173"/>
      <c r="BF3" s="172" t="s">
        <v>10</v>
      </c>
      <c r="BG3" s="172" t="s">
        <v>11</v>
      </c>
      <c r="BH3" s="172" t="s">
        <v>12</v>
      </c>
      <c r="BI3" s="172" t="s">
        <v>13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P3" s="172" t="s">
        <v>10</v>
      </c>
      <c r="BQ3" s="172" t="s">
        <v>11</v>
      </c>
      <c r="BR3" s="172" t="s">
        <v>12</v>
      </c>
      <c r="BS3" s="172" t="s">
        <v>13</v>
      </c>
      <c r="BU3" s="172" t="s">
        <v>10</v>
      </c>
      <c r="BV3" s="172" t="s">
        <v>11</v>
      </c>
      <c r="BW3" s="172" t="s">
        <v>12</v>
      </c>
      <c r="BX3" s="172" t="s">
        <v>13</v>
      </c>
    </row>
    <row r="4" spans="1:76" x14ac:dyDescent="0.2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  <c r="BQ4" s="54"/>
      <c r="BS4" s="54"/>
      <c r="BV4" s="54"/>
      <c r="BX4" s="54"/>
    </row>
    <row r="5" spans="1:76" x14ac:dyDescent="0.2">
      <c r="A5" s="2" t="str">
        <f>' Financial Highlights'!A42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  <c r="BP5" s="7">
        <v>27126</v>
      </c>
      <c r="BQ5" s="40">
        <v>27126</v>
      </c>
      <c r="BR5" s="7">
        <v>27126</v>
      </c>
      <c r="BS5" s="40">
        <v>27126</v>
      </c>
      <c r="BU5" s="7">
        <v>27126</v>
      </c>
      <c r="BV5" s="40">
        <v>27126</v>
      </c>
      <c r="BW5" s="7">
        <v>27126</v>
      </c>
      <c r="BX5" s="40">
        <v>27260</v>
      </c>
    </row>
    <row r="6" spans="1:76" x14ac:dyDescent="0.2">
      <c r="A6" s="2" t="s">
        <v>35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  <c r="BP6" s="8">
        <v>0</v>
      </c>
      <c r="BQ6" s="40">
        <v>0</v>
      </c>
      <c r="BR6" s="8">
        <v>0</v>
      </c>
      <c r="BS6" s="40">
        <v>0</v>
      </c>
      <c r="BU6" s="8">
        <v>0</v>
      </c>
      <c r="BV6" s="40">
        <v>0</v>
      </c>
      <c r="BW6" s="8"/>
      <c r="BX6" s="40"/>
    </row>
    <row r="7" spans="1:76" s="56" customFormat="1" x14ac:dyDescent="0.2">
      <c r="A7" s="56" t="s">
        <v>36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  <c r="BP7" s="57">
        <f>BP5-BP6</f>
        <v>27126</v>
      </c>
      <c r="BQ7" s="59">
        <f>BQ5-BQ6</f>
        <v>27126</v>
      </c>
      <c r="BR7" s="57">
        <f>BR5-BR6</f>
        <v>27126</v>
      </c>
      <c r="BS7" s="57">
        <f>BS5-BS6</f>
        <v>27126</v>
      </c>
      <c r="BU7" s="57">
        <f>BU5-BU6</f>
        <v>27126</v>
      </c>
      <c r="BV7" s="59">
        <f>BV5-BV6</f>
        <v>27126</v>
      </c>
      <c r="BW7" s="57">
        <f>BW5-BW6</f>
        <v>27126</v>
      </c>
      <c r="BX7" s="59">
        <f>BX5-BX6</f>
        <v>27260</v>
      </c>
    </row>
    <row r="8" spans="1:76" s="60" customFormat="1" x14ac:dyDescent="0.2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  <c r="BP8" s="62"/>
      <c r="BQ8" s="72"/>
      <c r="BR8" s="62"/>
      <c r="BS8" s="72"/>
      <c r="BU8" s="62"/>
      <c r="BV8" s="72"/>
      <c r="BW8" s="62"/>
      <c r="BX8" s="72"/>
    </row>
    <row r="9" spans="1:76" x14ac:dyDescent="0.2">
      <c r="A9" s="2" t="str">
        <f>' Financial Highlights'!A47</f>
        <v>Market price, DKK, per share</v>
      </c>
      <c r="C9" s="7">
        <f>' Financial Highlights'!C47</f>
        <v>198</v>
      </c>
      <c r="D9" s="40">
        <f>' Financial Highlights'!D47</f>
        <v>229</v>
      </c>
      <c r="E9" s="7">
        <f>' Financial Highlights'!E47</f>
        <v>262</v>
      </c>
      <c r="F9" s="40">
        <f>' Financial Highlights'!F47</f>
        <v>289</v>
      </c>
      <c r="G9" s="7"/>
      <c r="H9" s="7">
        <f>' Financial Highlights'!I47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  <c r="BP9" s="8">
        <v>197</v>
      </c>
      <c r="BQ9" s="40">
        <v>175</v>
      </c>
      <c r="BR9" s="8">
        <v>167</v>
      </c>
      <c r="BS9" s="40">
        <v>89</v>
      </c>
      <c r="BU9" s="8">
        <v>118</v>
      </c>
      <c r="BV9" s="40">
        <v>101</v>
      </c>
      <c r="BW9" s="8">
        <v>133</v>
      </c>
      <c r="BX9" s="40">
        <v>161</v>
      </c>
    </row>
    <row r="10" spans="1:76" x14ac:dyDescent="0.2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  <c r="BP10" s="8"/>
      <c r="BQ10" s="40"/>
      <c r="BR10" s="8"/>
      <c r="BS10" s="40"/>
      <c r="BU10" s="8"/>
      <c r="BV10" s="40"/>
      <c r="BW10" s="8"/>
      <c r="BX10" s="40"/>
    </row>
    <row r="11" spans="1:76" x14ac:dyDescent="0.2">
      <c r="A11" s="2" t="s">
        <v>106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85">
        <f>(BP7*BP9/1000)/7.45</f>
        <v>717.29154362416102</v>
      </c>
      <c r="BQ11" s="84">
        <f>(BQ7*BQ9/1000)/7.45</f>
        <v>637.18791946308727</v>
      </c>
      <c r="BR11" s="85">
        <f>(BR7*BR9/1000)/7.45</f>
        <v>608.05932885906043</v>
      </c>
      <c r="BS11" s="84">
        <f>(BS7*BS9/1000)/7.46</f>
        <v>323.62117962466488</v>
      </c>
      <c r="BT11" s="31"/>
      <c r="BU11" s="85">
        <f>(BU7*BU9/1000)/7.46</f>
        <v>429.07077747989274</v>
      </c>
      <c r="BV11" s="84">
        <f>(BV7*BV9/1000)/7.46</f>
        <v>367.25549597855229</v>
      </c>
      <c r="BW11" s="85">
        <f>(BW7*BW9/1000)/7.46</f>
        <v>483.61367292225196</v>
      </c>
      <c r="BX11" s="84">
        <f>(BX7*BX9/1000)/7.46</f>
        <v>588.31903485254691</v>
      </c>
    </row>
    <row r="12" spans="1:76" x14ac:dyDescent="0.2">
      <c r="A12" s="2" t="s">
        <v>176</v>
      </c>
      <c r="C12" s="31"/>
      <c r="D12" s="84"/>
      <c r="E12" s="31"/>
      <c r="F12" s="84"/>
      <c r="G12" s="31"/>
      <c r="H12" s="31"/>
      <c r="I12" s="84"/>
      <c r="J12" s="31"/>
      <c r="K12" s="84"/>
      <c r="L12" s="31"/>
      <c r="M12" s="31"/>
      <c r="N12" s="84"/>
      <c r="O12" s="31"/>
      <c r="P12" s="84"/>
      <c r="Q12" s="31"/>
      <c r="R12" s="85"/>
      <c r="S12" s="84"/>
      <c r="T12" s="85"/>
      <c r="U12" s="84"/>
      <c r="V12" s="31"/>
      <c r="W12" s="85"/>
      <c r="X12" s="84"/>
      <c r="Y12" s="85"/>
      <c r="Z12" s="84"/>
      <c r="AA12" s="31"/>
      <c r="AB12" s="85"/>
      <c r="AC12" s="84"/>
      <c r="AD12" s="85"/>
      <c r="AE12" s="84"/>
      <c r="AF12" s="31"/>
      <c r="AG12" s="85"/>
      <c r="AH12" s="84"/>
      <c r="AI12" s="85"/>
      <c r="AJ12" s="84"/>
      <c r="AK12" s="31"/>
      <c r="AL12" s="85"/>
      <c r="AM12" s="84"/>
      <c r="AN12" s="85"/>
      <c r="AO12" s="84"/>
      <c r="AP12" s="31"/>
      <c r="AQ12" s="85"/>
      <c r="AR12" s="84"/>
      <c r="AS12" s="85"/>
      <c r="AT12" s="84"/>
      <c r="AU12" s="31"/>
      <c r="AV12" s="85"/>
      <c r="AW12" s="84"/>
      <c r="AX12" s="85"/>
      <c r="AY12" s="84"/>
      <c r="AZ12" s="31"/>
      <c r="BA12" s="85"/>
      <c r="BB12" s="84"/>
      <c r="BC12" s="85"/>
      <c r="BD12" s="84"/>
      <c r="BE12" s="31"/>
      <c r="BF12" s="85"/>
      <c r="BG12" s="84"/>
      <c r="BH12" s="85"/>
      <c r="BI12" s="84"/>
      <c r="BJ12" s="31"/>
      <c r="BK12" s="85"/>
      <c r="BL12" s="84"/>
      <c r="BM12" s="85"/>
      <c r="BN12" s="84"/>
      <c r="BO12" s="31"/>
      <c r="BP12" s="85"/>
      <c r="BQ12" s="84"/>
      <c r="BR12" s="85">
        <v>150</v>
      </c>
      <c r="BS12" s="84">
        <v>152.4</v>
      </c>
      <c r="BT12" s="31"/>
      <c r="BU12" s="85">
        <v>154.4</v>
      </c>
      <c r="BV12" s="84">
        <v>156.4</v>
      </c>
      <c r="BW12" s="85">
        <v>150.30000000000001</v>
      </c>
      <c r="BX12" s="84">
        <v>152.4</v>
      </c>
    </row>
    <row r="13" spans="1:76" x14ac:dyDescent="0.2">
      <c r="A13" s="2" t="s">
        <v>160</v>
      </c>
      <c r="C13" s="31">
        <v>7.7852348993288585</v>
      </c>
      <c r="D13" s="84">
        <v>7.9194630872483218</v>
      </c>
      <c r="E13" s="31">
        <v>8.4563758389261743</v>
      </c>
      <c r="F13" s="84">
        <v>8.4563758389261743</v>
      </c>
      <c r="G13" s="31"/>
      <c r="H13" s="31">
        <v>8.5906040268456376</v>
      </c>
      <c r="I13" s="84">
        <v>9.5302013422818792</v>
      </c>
      <c r="J13" s="31">
        <v>1.8791946308724832</v>
      </c>
      <c r="K13" s="84">
        <v>2.5503355704697985</v>
      </c>
      <c r="L13" s="31"/>
      <c r="M13" s="31">
        <v>2.6845637583892619</v>
      </c>
      <c r="N13" s="84">
        <v>2.6845637583892619</v>
      </c>
      <c r="O13" s="31">
        <v>3.8926174496644292</v>
      </c>
      <c r="P13" s="84">
        <v>4.9664429530201337</v>
      </c>
      <c r="Q13" s="31"/>
      <c r="R13" s="85">
        <v>5.2348993288590604</v>
      </c>
      <c r="S13" s="84">
        <v>5.6375838926174495</v>
      </c>
      <c r="T13" s="85">
        <v>6.174496644295302</v>
      </c>
      <c r="U13" s="84">
        <v>5.1006711409395971</v>
      </c>
      <c r="V13" s="31"/>
      <c r="W13" s="85">
        <v>4.2953020134228188</v>
      </c>
      <c r="X13" s="84">
        <v>4.6174496644295298</v>
      </c>
      <c r="Y13" s="85">
        <v>5.5033557046979862</v>
      </c>
      <c r="Z13" s="84">
        <v>2.8187919463087248</v>
      </c>
      <c r="AA13" s="31"/>
      <c r="AB13" s="85">
        <v>2.9530201342281877</v>
      </c>
      <c r="AC13" s="84">
        <v>3.087248322147651</v>
      </c>
      <c r="AD13" s="85">
        <v>0.93959731543624159</v>
      </c>
      <c r="AE13" s="84">
        <v>0.93959731543624159</v>
      </c>
      <c r="AF13" s="31"/>
      <c r="AG13" s="85">
        <v>0.67114093959731547</v>
      </c>
      <c r="AH13" s="84">
        <v>0.80536912751677847</v>
      </c>
      <c r="AI13" s="85">
        <v>0.80536912751677847</v>
      </c>
      <c r="AJ13" s="84">
        <v>0.93959731543624159</v>
      </c>
      <c r="AK13" s="31"/>
      <c r="AL13" s="85">
        <v>0.80536912751677847</v>
      </c>
      <c r="AM13" s="84">
        <v>0.80536912751677847</v>
      </c>
      <c r="AN13" s="85">
        <v>0.93959731543624159</v>
      </c>
      <c r="AO13" s="84">
        <v>0.93959731543624159</v>
      </c>
      <c r="AP13" s="31"/>
      <c r="AQ13" s="85">
        <v>1.0738255033557047</v>
      </c>
      <c r="AR13" s="84">
        <v>0.93959731543624159</v>
      </c>
      <c r="AS13" s="85">
        <v>0.93959731543624159</v>
      </c>
      <c r="AT13" s="84">
        <v>0.93959731543624159</v>
      </c>
      <c r="AU13" s="31"/>
      <c r="AV13" s="85">
        <v>0.80536912751677847</v>
      </c>
      <c r="AW13" s="84">
        <v>0.80536912751677847</v>
      </c>
      <c r="AX13" s="85">
        <v>0.80536912751677847</v>
      </c>
      <c r="AY13" s="84">
        <v>0.80536912751677847</v>
      </c>
      <c r="AZ13" s="31"/>
      <c r="BA13" s="85">
        <v>0.93959731543624159</v>
      </c>
      <c r="BB13" s="84">
        <v>0.93959731543624159</v>
      </c>
      <c r="BC13" s="85">
        <v>0.93959731543624159</v>
      </c>
      <c r="BD13" s="84">
        <v>0.9</v>
      </c>
      <c r="BE13" s="31"/>
      <c r="BF13" s="85">
        <v>0.9</v>
      </c>
      <c r="BG13" s="84">
        <v>0</v>
      </c>
      <c r="BH13" s="85">
        <v>0</v>
      </c>
      <c r="BI13" s="84">
        <v>0</v>
      </c>
      <c r="BJ13" s="31"/>
      <c r="BK13" s="85">
        <v>0</v>
      </c>
      <c r="BL13" s="84">
        <v>0</v>
      </c>
      <c r="BM13" s="85">
        <v>0</v>
      </c>
      <c r="BN13" s="84">
        <v>0</v>
      </c>
      <c r="BO13" s="31"/>
      <c r="BP13" s="85">
        <v>0</v>
      </c>
      <c r="BQ13" s="84">
        <v>0</v>
      </c>
      <c r="BR13" s="85">
        <v>0</v>
      </c>
      <c r="BS13" s="84">
        <v>0</v>
      </c>
      <c r="BT13" s="31"/>
      <c r="BU13" s="85">
        <v>0</v>
      </c>
      <c r="BV13" s="84">
        <v>0</v>
      </c>
      <c r="BW13" s="85">
        <v>0</v>
      </c>
      <c r="BX13" s="84">
        <v>0</v>
      </c>
    </row>
    <row r="14" spans="1:76" x14ac:dyDescent="0.2">
      <c r="A14" s="2" t="s">
        <v>107</v>
      </c>
      <c r="C14" s="31">
        <f>-' Financial Highlights'!C31</f>
        <v>45.234899328859058</v>
      </c>
      <c r="D14" s="84">
        <v>75.033557046979865</v>
      </c>
      <c r="E14" s="31">
        <v>115.16778523489933</v>
      </c>
      <c r="F14" s="84">
        <v>105.63758389261744</v>
      </c>
      <c r="G14" s="31"/>
      <c r="H14" s="31">
        <f>-' Financial Highlights'!I31</f>
        <v>157.85234899328859</v>
      </c>
      <c r="I14" s="84">
        <v>163.89261744966441</v>
      </c>
      <c r="J14" s="31">
        <v>156.77852348993289</v>
      </c>
      <c r="K14" s="84">
        <v>137.31543624161074</v>
      </c>
      <c r="L14" s="31"/>
      <c r="M14" s="31">
        <v>266.71140939597313</v>
      </c>
      <c r="N14" s="84">
        <v>308.72483221476512</v>
      </c>
      <c r="O14" s="31">
        <v>309.53020134228188</v>
      </c>
      <c r="P14" s="84">
        <v>267.78523489932883</v>
      </c>
      <c r="Q14" s="31"/>
      <c r="R14" s="85">
        <v>297.31543624161071</v>
      </c>
      <c r="S14" s="84">
        <v>379.19463087248323</v>
      </c>
      <c r="T14" s="85">
        <v>378.65771812080538</v>
      </c>
      <c r="U14" s="84">
        <v>303.3557046979866</v>
      </c>
      <c r="V14" s="31"/>
      <c r="W14" s="85">
        <v>306.4832214765101</v>
      </c>
      <c r="X14" s="84">
        <v>347.28859060402687</v>
      </c>
      <c r="Y14" s="85">
        <v>359.86577181208054</v>
      </c>
      <c r="Z14" s="84">
        <v>365.7718120805369</v>
      </c>
      <c r="AA14" s="31"/>
      <c r="AB14" s="85">
        <v>455.57046979865771</v>
      </c>
      <c r="AC14" s="84">
        <v>508.72483221476512</v>
      </c>
      <c r="AD14" s="85">
        <v>556.24161073825508</v>
      </c>
      <c r="AE14" s="84">
        <v>551.00671140939596</v>
      </c>
      <c r="AF14" s="31"/>
      <c r="AG14" s="85">
        <v>647.11409395973158</v>
      </c>
      <c r="AH14" s="84">
        <v>663.08724832214762</v>
      </c>
      <c r="AI14" s="85">
        <v>640.40268456375838</v>
      </c>
      <c r="AJ14" s="84">
        <v>594.49664429530196</v>
      </c>
      <c r="AK14" s="31"/>
      <c r="AL14" s="85">
        <v>602.81879194630869</v>
      </c>
      <c r="AM14" s="84">
        <f>(-' Financial Highlights'!AT31)</f>
        <v>361.34228187919462</v>
      </c>
      <c r="AN14" s="85">
        <f>(-' Financial Highlights'!AU31)</f>
        <v>369.26174496644296</v>
      </c>
      <c r="AO14" s="84">
        <f>(-' Financial Highlights'!AV31)</f>
        <v>256.24161073825502</v>
      </c>
      <c r="AP14" s="31"/>
      <c r="AQ14" s="85">
        <v>372.6174496644295</v>
      </c>
      <c r="AR14" s="84">
        <v>381.07382550335569</v>
      </c>
      <c r="AS14" s="85">
        <v>369.53020134228188</v>
      </c>
      <c r="AT14" s="84">
        <v>283.3557046979866</v>
      </c>
      <c r="AU14" s="31"/>
      <c r="AV14" s="85">
        <v>268.32214765100673</v>
      </c>
      <c r="AW14" s="84">
        <v>269.53020134228188</v>
      </c>
      <c r="AX14" s="85">
        <v>284.42953020134229</v>
      </c>
      <c r="AY14" s="84">
        <v>152.34899328859061</v>
      </c>
      <c r="AZ14" s="31"/>
      <c r="BA14" s="85">
        <v>177.4496644295302</v>
      </c>
      <c r="BB14" s="84">
        <v>193.02013422818791</v>
      </c>
      <c r="BC14" s="85">
        <v>167.51677852348993</v>
      </c>
      <c r="BD14" s="84">
        <v>88.9</v>
      </c>
      <c r="BE14" s="31"/>
      <c r="BF14" s="85">
        <v>158.9</v>
      </c>
      <c r="BG14" s="84">
        <v>188.2</v>
      </c>
      <c r="BH14" s="85">
        <v>174.6</v>
      </c>
      <c r="BI14" s="84">
        <v>-68.400000000000006</v>
      </c>
      <c r="BJ14" s="31"/>
      <c r="BK14" s="85">
        <v>616.79999999999995</v>
      </c>
      <c r="BL14" s="84">
        <v>742.3</v>
      </c>
      <c r="BM14" s="85">
        <v>720.1</v>
      </c>
      <c r="BN14" s="84">
        <v>293.2</v>
      </c>
      <c r="BO14" s="31"/>
      <c r="BP14" s="85">
        <v>432.7</v>
      </c>
      <c r="BQ14" s="84">
        <v>409.5</v>
      </c>
      <c r="BR14" s="85">
        <v>307.5</v>
      </c>
      <c r="BS14" s="84">
        <v>248.3</v>
      </c>
      <c r="BT14" s="31"/>
      <c r="BU14" s="85">
        <v>339</v>
      </c>
      <c r="BV14" s="84">
        <v>336.1</v>
      </c>
      <c r="BW14" s="85">
        <v>349.9</v>
      </c>
      <c r="BX14" s="84">
        <v>242.2</v>
      </c>
    </row>
    <row r="15" spans="1:76" s="56" customFormat="1" x14ac:dyDescent="0.2">
      <c r="A15" s="56" t="s">
        <v>111</v>
      </c>
      <c r="C15" s="123">
        <f>SUM(C11:C14)</f>
        <v>704.16107382550331</v>
      </c>
      <c r="D15" s="124">
        <f>SUM(D11:D14)</f>
        <v>836.04026845637577</v>
      </c>
      <c r="E15" s="123">
        <f>SUM(E11:E14)</f>
        <v>946.37449664429528</v>
      </c>
      <c r="F15" s="124">
        <f>SUM(F11:F14)</f>
        <v>1021.6315436241609</v>
      </c>
      <c r="G15" s="123"/>
      <c r="H15" s="123">
        <f>SUM(H11:H14)</f>
        <v>1388.0073825503355</v>
      </c>
      <c r="I15" s="124">
        <f>SUM(I11:I14)</f>
        <v>1324.0875167785232</v>
      </c>
      <c r="J15" s="123">
        <f>SUM(J11:J14)</f>
        <v>1548.2582550335569</v>
      </c>
      <c r="K15" s="124">
        <f>SUM(K11:K14)</f>
        <v>1721.2437583892618</v>
      </c>
      <c r="L15" s="123"/>
      <c r="M15" s="123">
        <f>SUM(M11:M14)</f>
        <v>1677.8598657718121</v>
      </c>
      <c r="N15" s="124">
        <f>SUM(N11:N14)</f>
        <v>2047.5758389261746</v>
      </c>
      <c r="O15" s="123">
        <f>SUM(O11:O14)</f>
        <v>2166.5986577181206</v>
      </c>
      <c r="P15" s="124">
        <f>SUM(P11:P14)</f>
        <v>1724.3006711409396</v>
      </c>
      <c r="Q15" s="123"/>
      <c r="R15" s="144">
        <f>SUM(R11:R14)</f>
        <v>1378.5476510067115</v>
      </c>
      <c r="S15" s="124">
        <f>SUM(S11:S14)</f>
        <v>1600.1503355704699</v>
      </c>
      <c r="T15" s="144">
        <f>SUM(T11:T14)</f>
        <v>1162.255033557047</v>
      </c>
      <c r="U15" s="124">
        <f>SUM(U11:U14)</f>
        <v>644.81073825503358</v>
      </c>
      <c r="V15" s="123"/>
      <c r="W15" s="144">
        <f>SUM(W11:W14)</f>
        <v>618.57449664429532</v>
      </c>
      <c r="X15" s="124">
        <f>SUM(X11:X14)</f>
        <v>919.10738255033539</v>
      </c>
      <c r="Y15" s="144">
        <f>SUM(Y11:Y14)</f>
        <v>1307.7959731543624</v>
      </c>
      <c r="Z15" s="124">
        <f>SUM(Z11:Z14)</f>
        <v>1291.9785234899327</v>
      </c>
      <c r="AA15" s="123"/>
      <c r="AB15" s="144">
        <f>SUM(AB11:AB14)</f>
        <v>1426.4993288590604</v>
      </c>
      <c r="AC15" s="124">
        <f>SUM(AC11:AC14)</f>
        <v>1382.0287248322147</v>
      </c>
      <c r="AD15" s="144">
        <f>SUM(AD11:AD14)</f>
        <v>1414.6939597315436</v>
      </c>
      <c r="AE15" s="124">
        <f>SUM(AE11:AE14)</f>
        <v>1495.2103355704699</v>
      </c>
      <c r="AF15" s="123"/>
      <c r="AG15" s="144">
        <f>SUM(AG11:AG14)</f>
        <v>1629.1424410738255</v>
      </c>
      <c r="AH15" s="124">
        <f>SUM(AH11:AH14)</f>
        <v>1708.768089395973</v>
      </c>
      <c r="AI15" s="144">
        <f>SUM(AI11:AI14)</f>
        <v>1282.7425379865772</v>
      </c>
      <c r="AJ15" s="124">
        <f>SUM(AJ11:AJ14)</f>
        <v>1202.0356797315435</v>
      </c>
      <c r="AK15" s="123"/>
      <c r="AL15" s="144">
        <f>SUM(AL11:AL14)</f>
        <v>1415.4209463087248</v>
      </c>
      <c r="AM15" s="124">
        <f>SUM(AM11:AM14)</f>
        <v>969.4080536912752</v>
      </c>
      <c r="AN15" s="144">
        <f>SUM(AN11:AN14)</f>
        <v>1015.8150335570469</v>
      </c>
      <c r="AO15" s="124">
        <f>SUM(AO11:AO14)</f>
        <v>909.18711409395974</v>
      </c>
      <c r="AP15" s="123"/>
      <c r="AQ15" s="144">
        <f>SUM(AQ11:AQ14)</f>
        <v>1065.2681879194629</v>
      </c>
      <c r="AR15" s="124">
        <f>SUM(AR11:AR14)</f>
        <v>1047.9763758389263</v>
      </c>
      <c r="AS15" s="144">
        <f>SUM(AS11:AS14)</f>
        <v>1247.7479194630873</v>
      </c>
      <c r="AT15" s="124">
        <f>SUM(AT11:AT14)</f>
        <v>1142.3629530201342</v>
      </c>
      <c r="AU15" s="123"/>
      <c r="AV15" s="144">
        <f>SUM(AV11:AV14)</f>
        <v>1274.6440268456377</v>
      </c>
      <c r="AW15" s="124">
        <f>SUM(AW11:AW14)</f>
        <v>1467.9889932885908</v>
      </c>
      <c r="AX15" s="144">
        <f>SUM(AX11:AX14)</f>
        <v>1325.9765100671138</v>
      </c>
      <c r="AY15" s="124">
        <f>SUM(AY11:AY14)</f>
        <v>1216.3119463087248</v>
      </c>
      <c r="AZ15" s="123"/>
      <c r="BA15" s="144">
        <f>SUM(BA11:BA14)</f>
        <v>1618.4570469798657</v>
      </c>
      <c r="BB15" s="124">
        <f>SUM(BB11:BB14)</f>
        <v>1436.6249664429531</v>
      </c>
      <c r="BC15" s="144">
        <f>SUM(BC11:BC14)</f>
        <v>1307.5661744966442</v>
      </c>
      <c r="BD15" s="124">
        <f>SUM(BD11:BD14)</f>
        <v>1245.09033557047</v>
      </c>
      <c r="BE15" s="123"/>
      <c r="BF15" s="144">
        <f>SUM(BF11:BF14)</f>
        <v>1386.6510067114098</v>
      </c>
      <c r="BG15" s="124">
        <f>SUM(BG11:BG14)</f>
        <v>1263.2978523489933</v>
      </c>
      <c r="BH15" s="144">
        <f>SUM(BH11:BH14)</f>
        <v>1518.6469798657715</v>
      </c>
      <c r="BI15" s="124">
        <f>SUM(BI11:BI14)</f>
        <v>1729.0046979865772</v>
      </c>
      <c r="BJ15" s="123"/>
      <c r="BK15" s="144">
        <f>SUM(BK11:BK14)</f>
        <v>2477.2499328859058</v>
      </c>
      <c r="BL15" s="124">
        <f>SUM(BL11:BL14)</f>
        <v>2641.9595973154364</v>
      </c>
      <c r="BM15" s="144">
        <f>SUM(BM11:BM14)</f>
        <v>2682.6387919463086</v>
      </c>
      <c r="BN15" s="124">
        <f>SUM(BN11:BN14)</f>
        <v>1323.6238926174497</v>
      </c>
      <c r="BO15" s="123"/>
      <c r="BP15" s="144">
        <f>SUM(BP11:BP14)</f>
        <v>1149.9915436241611</v>
      </c>
      <c r="BQ15" s="124">
        <f>SUM(BQ11:BQ14)</f>
        <v>1046.6879194630874</v>
      </c>
      <c r="BR15" s="144">
        <f>SUM(BR11:BR14)</f>
        <v>1065.5593288590603</v>
      </c>
      <c r="BS15" s="124">
        <f>SUM(BS11:BS14)</f>
        <v>724.32117962466486</v>
      </c>
      <c r="BT15" s="123"/>
      <c r="BU15" s="144">
        <f>SUM(BU11:BU14)</f>
        <v>922.47077747989272</v>
      </c>
      <c r="BV15" s="124">
        <f>SUM(BV11:BV14)</f>
        <v>859.75549597855229</v>
      </c>
      <c r="BW15" s="144">
        <f>SUM(BW11:BW14)</f>
        <v>983.81367292225195</v>
      </c>
      <c r="BX15" s="124">
        <f>SUM(BX11:BX14)</f>
        <v>982.91903485254693</v>
      </c>
    </row>
    <row r="16" spans="1:76" s="60" customFormat="1" x14ac:dyDescent="0.2">
      <c r="C16" s="137"/>
      <c r="D16" s="141"/>
      <c r="E16" s="137"/>
      <c r="F16" s="141"/>
      <c r="G16" s="137"/>
      <c r="H16" s="137"/>
      <c r="I16" s="141"/>
      <c r="J16" s="137"/>
      <c r="K16" s="141"/>
      <c r="L16" s="137"/>
      <c r="M16" s="137"/>
      <c r="N16" s="141"/>
      <c r="O16" s="137"/>
      <c r="P16" s="141"/>
      <c r="Q16" s="137"/>
      <c r="R16" s="140"/>
      <c r="S16" s="141"/>
      <c r="T16" s="140"/>
      <c r="U16" s="141"/>
      <c r="V16" s="137"/>
      <c r="W16" s="140"/>
      <c r="X16" s="141"/>
      <c r="Y16" s="140"/>
      <c r="Z16" s="141"/>
      <c r="AA16" s="137"/>
      <c r="AB16" s="140"/>
      <c r="AC16" s="141"/>
      <c r="AD16" s="140"/>
      <c r="AE16" s="141"/>
      <c r="AF16" s="137"/>
      <c r="AG16" s="140"/>
      <c r="AH16" s="141"/>
      <c r="AI16" s="140"/>
      <c r="AJ16" s="141"/>
      <c r="AK16" s="137"/>
      <c r="AL16" s="140"/>
      <c r="AM16" s="141"/>
      <c r="AN16" s="140"/>
      <c r="AO16" s="141"/>
      <c r="AP16" s="137"/>
      <c r="AQ16" s="140"/>
      <c r="AR16" s="141"/>
      <c r="AS16" s="140"/>
      <c r="AT16" s="141"/>
      <c r="AU16" s="137"/>
      <c r="AV16" s="140"/>
      <c r="AW16" s="141"/>
      <c r="AX16" s="140"/>
      <c r="AY16" s="141"/>
      <c r="AZ16" s="137"/>
      <c r="BA16" s="140"/>
      <c r="BB16" s="141"/>
      <c r="BC16" s="140"/>
      <c r="BD16" s="141"/>
      <c r="BE16" s="137"/>
      <c r="BF16" s="140"/>
      <c r="BG16" s="141"/>
      <c r="BH16" s="140"/>
      <c r="BI16" s="141"/>
      <c r="BJ16" s="137"/>
      <c r="BK16" s="140"/>
      <c r="BL16" s="141"/>
      <c r="BM16" s="140"/>
      <c r="BN16" s="141"/>
      <c r="BO16" s="137"/>
      <c r="BP16" s="140"/>
      <c r="BQ16" s="141"/>
      <c r="BR16" s="140"/>
      <c r="BS16" s="141"/>
      <c r="BT16" s="137"/>
      <c r="BU16" s="140"/>
      <c r="BV16" s="141"/>
      <c r="BW16" s="140"/>
      <c r="BX16" s="141"/>
    </row>
    <row r="17" spans="1:76" x14ac:dyDescent="0.2">
      <c r="A17" s="2" t="s">
        <v>37</v>
      </c>
      <c r="C17" s="31">
        <v>89.932885906040269</v>
      </c>
      <c r="D17" s="84">
        <v>93.288590604026837</v>
      </c>
      <c r="E17" s="31">
        <v>84.295302013422813</v>
      </c>
      <c r="F17" s="84">
        <v>95.704697986577173</v>
      </c>
      <c r="G17" s="31"/>
      <c r="H17" s="31">
        <f>'OLD Segment Data 2005-2019'!D38+'OLD Segment Data 2005-2019'!E38+'OLD Segment Data 2005-2019'!F38+'OLD Segment Data 2005-2019'!I38</f>
        <v>102.5503355704698</v>
      </c>
      <c r="I17" s="84">
        <f>'OLD Segment Data 2005-2019'!J38+'OLD Segment Data 2005-2019'!I38+'OLD Segment Data 2005-2019'!F38+'OLD Segment Data 2005-2019'!E38</f>
        <v>129.26174496644296</v>
      </c>
      <c r="J17" s="31">
        <f>'OLD Segment Data 2005-2019'!K38+'OLD Segment Data 2005-2019'!J38+'OLD Segment Data 2005-2019'!I38+'OLD Segment Data 2005-2019'!F38</f>
        <v>137.98657718120805</v>
      </c>
      <c r="K17" s="84">
        <f>'OLD Segment Data 2005-2019'!M38</f>
        <v>137.18120805369128</v>
      </c>
      <c r="L17" s="31"/>
      <c r="M17" s="31">
        <v>147.91946308724832</v>
      </c>
      <c r="N17" s="84">
        <v>151.14093959731542</v>
      </c>
      <c r="O17" s="31">
        <v>161.61073825503357</v>
      </c>
      <c r="P17" s="84">
        <v>192.34899328859061</v>
      </c>
      <c r="Q17" s="31"/>
      <c r="R17" s="31">
        <v>198.92617449664428</v>
      </c>
      <c r="S17" s="84">
        <v>207.51677852348993</v>
      </c>
      <c r="T17" s="31">
        <v>206.97986577181209</v>
      </c>
      <c r="U17" s="84">
        <v>163.48993288590603</v>
      </c>
      <c r="V17" s="31"/>
      <c r="W17" s="31">
        <v>139.59731543624162</v>
      </c>
      <c r="X17" s="84">
        <v>109.53020134228187</v>
      </c>
      <c r="Y17" s="31">
        <v>95.570469798657712</v>
      </c>
      <c r="Z17" s="84">
        <v>105.1006711409396</v>
      </c>
      <c r="AA17" s="31"/>
      <c r="AB17" s="31">
        <v>116.64429530201342</v>
      </c>
      <c r="AC17" s="84">
        <v>119.46308724832214</v>
      </c>
      <c r="AD17" s="31">
        <v>122.81879194630872</v>
      </c>
      <c r="AE17" s="84">
        <v>120.67114093959731</v>
      </c>
      <c r="AF17" s="31"/>
      <c r="AG17" s="31">
        <v>121.07382550335571</v>
      </c>
      <c r="AH17" s="84">
        <v>114.63087248322148</v>
      </c>
      <c r="AI17" s="31">
        <v>122.95302013422818</v>
      </c>
      <c r="AJ17" s="84">
        <v>134.63087248322148</v>
      </c>
      <c r="AK17" s="31"/>
      <c r="AL17" s="85">
        <v>136.24161073825502</v>
      </c>
      <c r="AM17" s="84">
        <v>138.79194630872482</v>
      </c>
      <c r="AN17" s="31">
        <v>128.99328859060401</v>
      </c>
      <c r="AO17" s="84">
        <v>135.43624161073825</v>
      </c>
      <c r="AP17" s="31"/>
      <c r="AQ17" s="85">
        <v>133.95973154362414</v>
      </c>
      <c r="AR17" s="84">
        <v>140.67114093959731</v>
      </c>
      <c r="AS17" s="31">
        <v>140.93959731543623</v>
      </c>
      <c r="AT17" s="84">
        <v>148.05369127516778</v>
      </c>
      <c r="AU17" s="31"/>
      <c r="AV17" s="85">
        <v>158.65771812080536</v>
      </c>
      <c r="AW17" s="84">
        <v>151.00671140939596</v>
      </c>
      <c r="AX17" s="85">
        <v>148.99328859060401</v>
      </c>
      <c r="AY17" s="84">
        <v>142.41610738255034</v>
      </c>
      <c r="AZ17" s="31"/>
      <c r="BA17" s="85">
        <f>+'OLD Segment Data 2005-2019'!BK38+'OLD Segment Data 2005-2019'!BH38+'OLD Segment Data 2005-2019'!BG38+'OLD Segment Data 2005-2019'!BF38</f>
        <v>135.57046979865771</v>
      </c>
      <c r="BB17" s="84">
        <f>+'OLD Segment Data 2005-2019'!BL38+'OLD Segment Data 2005-2019'!BK38+'OLD Segment Data 2005-2019'!BH38+'OLD Segment Data 2005-2019'!BG38</f>
        <v>160.40268456375838</v>
      </c>
      <c r="BC17" s="85">
        <f>+'OLD Segment Data 2005-2019'!BM38+'OLD Segment Data 2005-2019'!BL38+'OLD Segment Data 2005-2019'!BK38+'OLD Segment Data 2005-2019'!BH38</f>
        <v>162.28187919463087</v>
      </c>
      <c r="BD17" s="84">
        <f>+'OLD Segment Data 2005-2019'!BN38+'OLD Segment Data 2005-2019'!BM38+'OLD Segment Data 2005-2019'!BL38+'OLD Segment Data 2005-2019'!BK38</f>
        <v>152.03154362416106</v>
      </c>
      <c r="BE17" s="31"/>
      <c r="BF17" s="85">
        <f>+'OLD Segment Data 2005-2019'!BQ38+'OLD Segment Data 2005-2019'!BN38+'OLD Segment Data 2005-2019'!BM38+'OLD Segment Data 2005-2019'!BL38</f>
        <v>155.04663758389262</v>
      </c>
      <c r="BG17" s="84">
        <f>+'OLD Segment Data 2005-2019'!BR38+'OLD Segment Data 2005-2019'!BQ38+'OLD Segment Data 2005-2019'!BN38+'OLD Segment Data 2005-2019'!BM38</f>
        <v>151.21576510067115</v>
      </c>
      <c r="BH17" s="85">
        <f>+'OLD Segment Data 2005-2019'!BS38+'OLD Segment Data 2005-2019'!BR38+'OLD Segment Data 2005-2019'!BQ38+'OLD Segment Data 2005-2019'!BN38+0.2</f>
        <v>125.40100000000001</v>
      </c>
      <c r="BI17" s="84">
        <f>+'OLD Segment Data 2005-2019'!BS38+'OLD Segment Data 2005-2019'!BR38+'OLD Segment Data 2005-2019'!BQ38+'OLD Segment Data 2005-2019'!BT38</f>
        <v>124.70100000000001</v>
      </c>
      <c r="BJ17" s="31"/>
      <c r="BK17" s="85">
        <f>+'OLD Segment Data 2005-2019'!BR38+'OLD Segment Data 2005-2019'!BS38+'OLD Segment Data 2005-2019'!BT38+'OLD Segment Data 2005-2019'!BW38</f>
        <v>120.80000000000001</v>
      </c>
      <c r="BL17" s="84">
        <f>+'OLD Segment Data 2005-2019'!BX38+'OLD Segment Data 2005-2019'!BW38+'OLD Segment Data 2005-2019'!BT38+'OLD Segment Data 2005-2019'!BS38</f>
        <v>141.69999999999999</v>
      </c>
      <c r="BM17" s="85">
        <f>+'OLD Segment Data 2005-2019'!BY38+'OLD Segment Data 2005-2019'!BX38+'OLD Segment Data 2005-2019'!BW38+'OLD Segment Data 2005-2019'!BT38</f>
        <v>190.10000000000002</v>
      </c>
      <c r="BN17" s="84">
        <f>+'OLD Segment Data 2005-2019'!CA38</f>
        <v>96.9</v>
      </c>
      <c r="BO17" s="31"/>
      <c r="BP17" s="85">
        <f>+'OLD Segment Data 2005-2019'!CA38+'OLD Segment Data 2005-2019'!CC38-'OLD Segment Data 2005-2019'!BW31-'OLD Segment Data 2005-2019'!BW35</f>
        <v>111.6</v>
      </c>
      <c r="BQ17" s="84">
        <f>+'OLD Segment Data 2005-2019'!CA38+'OLD Segment Data 2005-2019'!CC38+'OLD Segment Data 2005-2019'!CD38-'OLD Segment Data 2005-2019'!BW31-'OLD Segment Data 2005-2019'!BW35-'OLD Segment Data 2005-2019'!BX31-'OLD Segment Data 2005-2019'!BX35</f>
        <v>98.700000000000017</v>
      </c>
      <c r="BR17" s="85">
        <f>+'OLD Segment Data 2005-2019'!CE38+'OLD Segment Data 2005-2019'!CD38+'OLD Segment Data 2005-2019'!CC38+'OLD Segment Data 2005-2019'!BZ38</f>
        <v>81.000000000000014</v>
      </c>
      <c r="BS17" s="84">
        <f>+'OLD Segment Data 2005-2019'!CG38</f>
        <v>49.800000000000004</v>
      </c>
      <c r="BT17" s="31"/>
      <c r="BU17" s="85">
        <f>+'OLD Segment Data 2005-2019'!CI38+'OLD Segment Data 2005-2019'!CF38+'OLD Segment Data 2005-2019'!CE38+'OLD Segment Data 2005-2019'!CD38</f>
        <v>34.200000000000003</v>
      </c>
      <c r="BV17" s="84">
        <f>+'OLD Segment Data 2005-2019'!CJ38+'OLD Segment Data 2005-2019'!CI38+'OLD Segment Data 2005-2019'!CF38+'OLD Segment Data 2005-2019'!CE38</f>
        <v>18</v>
      </c>
      <c r="BW17" s="85">
        <f>+'OLD Segment Data 2005-2019'!CK38+'OLD Segment Data 2005-2019'!CJ38+'OLD Segment Data 2005-2019'!CI38+'OLD Segment Data 2005-2019'!CF38</f>
        <v>6.1000000000000014</v>
      </c>
      <c r="BX17" s="84">
        <f>+'OLD Segment Data 2005-2019'!CM38</f>
        <v>17.700000000000003</v>
      </c>
    </row>
    <row r="18" spans="1:76" x14ac:dyDescent="0.2">
      <c r="A18" s="70" t="s">
        <v>74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85"/>
      <c r="BQ18" s="84"/>
      <c r="BR18" s="85"/>
      <c r="BS18" s="84"/>
      <c r="BT18" s="31"/>
      <c r="BU18" s="85"/>
      <c r="BV18" s="84"/>
      <c r="BW18" s="85"/>
      <c r="BX18" s="84"/>
    </row>
    <row r="19" spans="1:76" x14ac:dyDescent="0.2">
      <c r="A19" s="2" t="s">
        <v>98</v>
      </c>
      <c r="C19" s="31"/>
      <c r="D19" s="84"/>
      <c r="E19" s="31"/>
      <c r="F19" s="84"/>
      <c r="G19" s="31"/>
      <c r="H19" s="31"/>
      <c r="I19" s="84"/>
      <c r="J19" s="31"/>
      <c r="K19" s="84"/>
      <c r="L19" s="31"/>
      <c r="M19" s="31"/>
      <c r="N19" s="84"/>
      <c r="O19" s="31"/>
      <c r="P19" s="84"/>
      <c r="Q19" s="31"/>
      <c r="R19" s="85"/>
      <c r="S19" s="84"/>
      <c r="T19" s="85"/>
      <c r="U19" s="84"/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85"/>
      <c r="BQ19" s="84"/>
      <c r="BR19" s="85"/>
      <c r="BS19" s="84"/>
      <c r="BT19" s="31"/>
      <c r="BU19" s="85"/>
      <c r="BV19" s="84"/>
      <c r="BW19" s="85"/>
      <c r="BX19" s="84"/>
    </row>
    <row r="20" spans="1:76" x14ac:dyDescent="0.2">
      <c r="A20" s="2" t="s">
        <v>38</v>
      </c>
      <c r="C20" s="31">
        <v>-25.63758389261745</v>
      </c>
      <c r="D20" s="84">
        <v>-25.63758389261745</v>
      </c>
      <c r="E20" s="31">
        <v>-7.1140939597315436</v>
      </c>
      <c r="F20" s="84">
        <v>-5.2348993288590604</v>
      </c>
      <c r="G20" s="31"/>
      <c r="H20" s="31">
        <v>-5.2348993288590604</v>
      </c>
      <c r="I20" s="84">
        <f>(-109-25)/7.45</f>
        <v>-17.986577181208052</v>
      </c>
      <c r="J20" s="31">
        <f>(-113-25)/7.45</f>
        <v>-18.523489932885905</v>
      </c>
      <c r="K20" s="84">
        <v>-14.496644295302014</v>
      </c>
      <c r="L20" s="31"/>
      <c r="M20" s="31">
        <v>-14.496644295302014</v>
      </c>
      <c r="N20" s="84">
        <v>0</v>
      </c>
      <c r="O20" s="31">
        <v>0</v>
      </c>
      <c r="P20" s="84">
        <v>-9.3959731543624159</v>
      </c>
      <c r="Q20" s="31"/>
      <c r="R20" s="85">
        <v>-9.3959731543624159</v>
      </c>
      <c r="S20" s="84">
        <v>-9.3959731543624159</v>
      </c>
      <c r="T20" s="85">
        <v>-9.3959731543624159</v>
      </c>
      <c r="U20" s="84">
        <v>0</v>
      </c>
      <c r="V20" s="31"/>
      <c r="W20" s="85"/>
      <c r="X20" s="84"/>
      <c r="Y20" s="85"/>
      <c r="Z20" s="84"/>
      <c r="AA20" s="31"/>
      <c r="AB20" s="85"/>
      <c r="AC20" s="84"/>
      <c r="AD20" s="85"/>
      <c r="AE20" s="84"/>
      <c r="AF20" s="31"/>
      <c r="AG20" s="85"/>
      <c r="AH20" s="84"/>
      <c r="AI20" s="85"/>
      <c r="AJ20" s="84"/>
      <c r="AK20" s="31"/>
      <c r="AL20" s="85"/>
      <c r="AM20" s="84"/>
      <c r="AN20" s="85"/>
      <c r="AO20" s="84"/>
      <c r="AP20" s="31"/>
      <c r="AQ20" s="85"/>
      <c r="AR20" s="84"/>
      <c r="AS20" s="85"/>
      <c r="AT20" s="84"/>
      <c r="AU20" s="31"/>
      <c r="AV20" s="85"/>
      <c r="AW20" s="84"/>
      <c r="AX20" s="85"/>
      <c r="AY20" s="84"/>
      <c r="AZ20" s="31"/>
      <c r="BA20" s="85"/>
      <c r="BB20" s="84"/>
      <c r="BC20" s="85"/>
      <c r="BD20" s="84"/>
      <c r="BE20" s="31"/>
      <c r="BF20" s="85"/>
      <c r="BG20" s="84"/>
      <c r="BH20" s="85"/>
      <c r="BI20" s="84"/>
      <c r="BJ20" s="31"/>
      <c r="BK20" s="85"/>
      <c r="BL20" s="84"/>
      <c r="BM20" s="85"/>
      <c r="BN20" s="84"/>
      <c r="BO20" s="31"/>
      <c r="BP20" s="85"/>
      <c r="BQ20" s="84"/>
      <c r="BR20" s="85"/>
      <c r="BS20" s="84"/>
      <c r="BT20" s="31"/>
      <c r="BU20" s="85"/>
      <c r="BV20" s="84"/>
      <c r="BW20" s="85"/>
      <c r="BX20" s="84"/>
    </row>
    <row r="21" spans="1:76" x14ac:dyDescent="0.2">
      <c r="A21" s="2" t="s">
        <v>165</v>
      </c>
      <c r="C21" s="31">
        <v>3.2214765100671139</v>
      </c>
      <c r="D21" s="84">
        <v>7.9194630872483218</v>
      </c>
      <c r="E21" s="31">
        <v>7.9194630872483218</v>
      </c>
      <c r="F21" s="84">
        <v>4.6979865771812079</v>
      </c>
      <c r="G21" s="31"/>
      <c r="H21" s="31">
        <v>4.6979865771812079</v>
      </c>
      <c r="I21" s="84">
        <v>0</v>
      </c>
      <c r="J21" s="31">
        <v>0</v>
      </c>
      <c r="K21" s="84">
        <v>0</v>
      </c>
      <c r="L21" s="31"/>
      <c r="M21" s="31"/>
      <c r="N21" s="84"/>
      <c r="O21" s="31"/>
      <c r="P21" s="84"/>
      <c r="Q21" s="31"/>
      <c r="R21" s="85">
        <v>0</v>
      </c>
      <c r="S21" s="84">
        <v>0</v>
      </c>
      <c r="T21" s="85">
        <v>4.1610738255033555</v>
      </c>
      <c r="U21" s="84">
        <v>11.006711409395972</v>
      </c>
      <c r="V21" s="31"/>
      <c r="W21" s="85">
        <v>13.691275167785234</v>
      </c>
      <c r="X21" s="84">
        <v>21.34228187919463</v>
      </c>
      <c r="Y21" s="85">
        <v>22.281879194630871</v>
      </c>
      <c r="Z21" s="84">
        <v>20.402684563758388</v>
      </c>
      <c r="AA21" s="31"/>
      <c r="AB21" s="85">
        <f>(152-20+22)/7.45</f>
        <v>20.671140939597315</v>
      </c>
      <c r="AC21" s="84">
        <v>16.241610738255034</v>
      </c>
      <c r="AD21" s="85">
        <v>14.765100671140939</v>
      </c>
      <c r="AE21" s="84">
        <v>11.543624161073826</v>
      </c>
      <c r="AF21" s="31"/>
      <c r="AG21" s="85">
        <v>9.2617449664429525</v>
      </c>
      <c r="AH21" s="84">
        <v>7.2483221476510069</v>
      </c>
      <c r="AI21" s="85">
        <v>4.1610738255033555</v>
      </c>
      <c r="AJ21" s="84">
        <v>4.4295302013422821</v>
      </c>
      <c r="AK21" s="31"/>
      <c r="AL21" s="85">
        <v>3.8926174496644292</v>
      </c>
      <c r="AM21" s="84">
        <v>4.1610738255033555</v>
      </c>
      <c r="AN21" s="85">
        <v>5.2348993288590604</v>
      </c>
      <c r="AO21" s="84">
        <v>4.0268456375838921</v>
      </c>
      <c r="AP21" s="31"/>
      <c r="AQ21" s="85">
        <v>3.7583892617449663</v>
      </c>
      <c r="AR21" s="84">
        <v>2.6845637583892619</v>
      </c>
      <c r="AS21" s="85">
        <v>3.087248322147651</v>
      </c>
      <c r="AT21" s="84">
        <v>-2.4161073825503356</v>
      </c>
      <c r="AU21" s="31"/>
      <c r="AV21" s="85">
        <v>4.9664429530201337</v>
      </c>
      <c r="AW21" s="84">
        <f>(74+64)/7.45</f>
        <v>18.523489932885905</v>
      </c>
      <c r="AX21" s="85">
        <v>22.416107382550337</v>
      </c>
      <c r="AY21" s="84">
        <v>40.805369127516776</v>
      </c>
      <c r="AZ21" s="31"/>
      <c r="BA21" s="85">
        <v>38.65771812080537</v>
      </c>
      <c r="BB21" s="84">
        <v>29.530201342281877</v>
      </c>
      <c r="BC21" s="85">
        <v>28.456375838926174</v>
      </c>
      <c r="BD21" s="84">
        <v>23.2</v>
      </c>
      <c r="BE21" s="31"/>
      <c r="BF21" s="85">
        <v>20.7</v>
      </c>
      <c r="BG21" s="84">
        <v>18.100000000000001</v>
      </c>
      <c r="BH21" s="85">
        <f>+BH24-BH17</f>
        <v>54.399999999999977</v>
      </c>
      <c r="BI21" s="84">
        <f>+BI24-BI17</f>
        <v>67.000000000000014</v>
      </c>
      <c r="BJ21" s="31"/>
      <c r="BK21" s="85">
        <v>83.4</v>
      </c>
      <c r="BL21" s="84">
        <f>+BL24-BL17</f>
        <v>89.100000000000023</v>
      </c>
      <c r="BM21" s="85">
        <f>+BM24-BM17</f>
        <v>58.69999999999996</v>
      </c>
      <c r="BN21" s="84">
        <f>+BN24-BN17</f>
        <v>44.900000000000006</v>
      </c>
      <c r="BO21" s="31"/>
      <c r="BP21" s="85">
        <v>33.4</v>
      </c>
      <c r="BQ21" s="84">
        <f>+BQ24-BQ17</f>
        <v>35.799999999999983</v>
      </c>
      <c r="BR21" s="85">
        <f>+BR24-BR17</f>
        <v>38.099999999999994</v>
      </c>
      <c r="BS21" s="84">
        <f>+BS24-BS17</f>
        <v>29.499999999999993</v>
      </c>
      <c r="BT21" s="31"/>
      <c r="BU21" s="85">
        <f>+BU24-BU17-BU23</f>
        <v>29.800000000000004</v>
      </c>
      <c r="BV21" s="84">
        <f>+BV24-BV17-BV23</f>
        <v>26.20000000000001</v>
      </c>
      <c r="BW21" s="85">
        <f>+BW24-BW17-BW23</f>
        <v>21.300000000000011</v>
      </c>
      <c r="BX21" s="84">
        <f>+BX24-BX17-BX23</f>
        <v>18.399999999999999</v>
      </c>
    </row>
    <row r="22" spans="1:76" x14ac:dyDescent="0.2">
      <c r="A22" s="2" t="s">
        <v>99</v>
      </c>
      <c r="C22" s="31">
        <v>3.3557046979865772</v>
      </c>
      <c r="D22" s="84">
        <v>0</v>
      </c>
      <c r="E22" s="31">
        <v>0</v>
      </c>
      <c r="F22" s="84">
        <v>0</v>
      </c>
      <c r="G22" s="31"/>
      <c r="H22" s="31"/>
      <c r="I22" s="84"/>
      <c r="J22" s="31"/>
      <c r="K22" s="84"/>
      <c r="L22" s="31"/>
      <c r="M22" s="31">
        <v>13.422818791946309</v>
      </c>
      <c r="N22" s="84">
        <v>8.0536912751677843</v>
      </c>
      <c r="O22" s="85">
        <v>4.0268456375838921</v>
      </c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/>
      <c r="AT22" s="84"/>
      <c r="AU22" s="31"/>
      <c r="AV22" s="85"/>
      <c r="AW22" s="84"/>
      <c r="AX22" s="85"/>
      <c r="AY22" s="84"/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85"/>
      <c r="BQ22" s="84"/>
      <c r="BR22" s="85"/>
      <c r="BS22" s="84"/>
      <c r="BT22" s="31"/>
      <c r="BU22" s="85"/>
      <c r="BV22" s="84"/>
      <c r="BW22" s="85"/>
      <c r="BX22" s="84"/>
    </row>
    <row r="23" spans="1:76" x14ac:dyDescent="0.2">
      <c r="A23" s="2" t="s">
        <v>90</v>
      </c>
      <c r="C23" s="31"/>
      <c r="D23" s="84"/>
      <c r="E23" s="31"/>
      <c r="F23" s="84"/>
      <c r="G23" s="31"/>
      <c r="H23" s="31"/>
      <c r="I23" s="84"/>
      <c r="J23" s="31"/>
      <c r="K23" s="84"/>
      <c r="L23" s="31"/>
      <c r="M23" s="31"/>
      <c r="N23" s="84"/>
      <c r="O23" s="31"/>
      <c r="P23" s="84"/>
      <c r="Q23" s="31"/>
      <c r="R23" s="85"/>
      <c r="S23" s="84"/>
      <c r="T23" s="85"/>
      <c r="U23" s="84"/>
      <c r="V23" s="31"/>
      <c r="W23" s="85"/>
      <c r="X23" s="84"/>
      <c r="Y23" s="85"/>
      <c r="Z23" s="84"/>
      <c r="AA23" s="31"/>
      <c r="AB23" s="85"/>
      <c r="AC23" s="84"/>
      <c r="AD23" s="85"/>
      <c r="AE23" s="84"/>
      <c r="AF23" s="31"/>
      <c r="AG23" s="85"/>
      <c r="AH23" s="84"/>
      <c r="AI23" s="85"/>
      <c r="AJ23" s="84"/>
      <c r="AK23" s="31"/>
      <c r="AL23" s="85"/>
      <c r="AM23" s="84"/>
      <c r="AN23" s="85"/>
      <c r="AO23" s="84"/>
      <c r="AP23" s="31"/>
      <c r="AQ23" s="85"/>
      <c r="AR23" s="84"/>
      <c r="AS23" s="85">
        <v>0</v>
      </c>
      <c r="AT23" s="84"/>
      <c r="AU23" s="31"/>
      <c r="AV23" s="85">
        <v>-13.020134228187919</v>
      </c>
      <c r="AW23" s="84">
        <v>-13.020134228187919</v>
      </c>
      <c r="AX23" s="85">
        <v>-13.020134228187919</v>
      </c>
      <c r="AY23" s="84">
        <v>-12.885906040268456</v>
      </c>
      <c r="AZ23" s="31"/>
      <c r="BA23" s="85"/>
      <c r="BB23" s="84"/>
      <c r="BC23" s="85"/>
      <c r="BD23" s="84"/>
      <c r="BE23" s="31"/>
      <c r="BF23" s="85"/>
      <c r="BG23" s="84"/>
      <c r="BH23" s="85"/>
      <c r="BI23" s="84"/>
      <c r="BJ23" s="31"/>
      <c r="BK23" s="85"/>
      <c r="BL23" s="84"/>
      <c r="BM23" s="85"/>
      <c r="BN23" s="84"/>
      <c r="BO23" s="31"/>
      <c r="BP23" s="85"/>
      <c r="BQ23" s="84"/>
      <c r="BR23" s="85"/>
      <c r="BS23" s="84"/>
      <c r="BT23" s="31"/>
      <c r="BU23" s="85">
        <v>-6.4</v>
      </c>
      <c r="BV23" s="84">
        <v>-6.4</v>
      </c>
      <c r="BW23" s="85">
        <v>-6.4</v>
      </c>
      <c r="BX23" s="84">
        <v>-6.4</v>
      </c>
    </row>
    <row r="24" spans="1:76" s="56" customFormat="1" x14ac:dyDescent="0.2">
      <c r="A24" s="56" t="s">
        <v>75</v>
      </c>
      <c r="C24" s="123">
        <f>SUM(C17:C23)</f>
        <v>70.872483221476529</v>
      </c>
      <c r="D24" s="124">
        <f>SUM(D17:D23)</f>
        <v>75.570469798657712</v>
      </c>
      <c r="E24" s="123">
        <f>SUM(E17:E23)</f>
        <v>85.100671140939582</v>
      </c>
      <c r="F24" s="124">
        <f>SUM(F17:F23)</f>
        <v>95.167785234899327</v>
      </c>
      <c r="G24" s="123"/>
      <c r="H24" s="123">
        <f>SUM(H17:H23)</f>
        <v>102.01342281879195</v>
      </c>
      <c r="I24" s="124">
        <f>SUM(I17:I23)</f>
        <v>111.27516778523491</v>
      </c>
      <c r="J24" s="123">
        <f>SUM(J17:J23)</f>
        <v>119.46308724832214</v>
      </c>
      <c r="K24" s="124">
        <f>SUM(K17:K23)</f>
        <v>122.68456375838926</v>
      </c>
      <c r="L24" s="123"/>
      <c r="M24" s="123">
        <f>SUM(M17:M23)</f>
        <v>146.8456375838926</v>
      </c>
      <c r="N24" s="124">
        <f>SUM(N17:N23)</f>
        <v>159.1946308724832</v>
      </c>
      <c r="O24" s="123">
        <f>SUM(O17:O23)</f>
        <v>165.63758389261747</v>
      </c>
      <c r="P24" s="124">
        <f>SUM(P17:P23)</f>
        <v>182.95302013422818</v>
      </c>
      <c r="Q24" s="123"/>
      <c r="R24" s="144">
        <f>SUM(R17:R23)</f>
        <v>189.53020134228186</v>
      </c>
      <c r="S24" s="124">
        <f>SUM(S17:S23)</f>
        <v>198.12080536912751</v>
      </c>
      <c r="T24" s="144">
        <f>SUM(T17:T23)</f>
        <v>201.74496644295303</v>
      </c>
      <c r="U24" s="124">
        <f>SUM(U17:U23)</f>
        <v>174.49664429530199</v>
      </c>
      <c r="V24" s="123"/>
      <c r="W24" s="144">
        <f>SUM(W17:W23)</f>
        <v>153.28859060402684</v>
      </c>
      <c r="X24" s="124">
        <f>SUM(X17:X23)</f>
        <v>130.8724832214765</v>
      </c>
      <c r="Y24" s="144">
        <f>SUM(Y17:Y23)</f>
        <v>117.85234899328859</v>
      </c>
      <c r="Z24" s="124">
        <f>SUM(Z17:Z23)</f>
        <v>125.50335570469798</v>
      </c>
      <c r="AA24" s="123"/>
      <c r="AB24" s="144">
        <f>SUM(AB17:AB23)</f>
        <v>137.31543624161074</v>
      </c>
      <c r="AC24" s="124">
        <f>SUM(AC17:AC23)</f>
        <v>135.70469798657717</v>
      </c>
      <c r="AD24" s="144">
        <f>SUM(AD17:AD23)</f>
        <v>137.58389261744966</v>
      </c>
      <c r="AE24" s="124">
        <f>SUM(AE17:AE23)</f>
        <v>132.21476510067114</v>
      </c>
      <c r="AF24" s="123"/>
      <c r="AG24" s="144">
        <f>SUM(AG17:AG23)</f>
        <v>130.33557046979865</v>
      </c>
      <c r="AH24" s="124">
        <f>SUM(AH17:AH23)</f>
        <v>121.87919463087249</v>
      </c>
      <c r="AI24" s="144">
        <f>SUM(AI17:AI23)</f>
        <v>127.11409395973153</v>
      </c>
      <c r="AJ24" s="124">
        <f>SUM(AJ17:AJ23)</f>
        <v>139.06040268456377</v>
      </c>
      <c r="AK24" s="123"/>
      <c r="AL24" s="144">
        <f>SUM(AL17:AL23)</f>
        <v>140.13422818791946</v>
      </c>
      <c r="AM24" s="124">
        <f>SUM(AM17:AM23)</f>
        <v>142.95302013422818</v>
      </c>
      <c r="AN24" s="144">
        <f>SUM(AN17:AN23)</f>
        <v>134.22818791946307</v>
      </c>
      <c r="AO24" s="124">
        <f>SUM(AO17:AO23)</f>
        <v>139.46308724832215</v>
      </c>
      <c r="AP24" s="123"/>
      <c r="AQ24" s="144">
        <f>SUM(AQ17:AQ23)</f>
        <v>137.7181208053691</v>
      </c>
      <c r="AR24" s="124">
        <f>SUM(AR17:AR23)</f>
        <v>143.35570469798657</v>
      </c>
      <c r="AS24" s="144">
        <f>SUM(AS17:AS23)</f>
        <v>144.02684563758388</v>
      </c>
      <c r="AT24" s="124">
        <f>SUM(AT17:AT23)</f>
        <v>145.63758389261744</v>
      </c>
      <c r="AU24" s="123"/>
      <c r="AV24" s="144">
        <f>SUM(AV17:AV23)</f>
        <v>150.60402684563758</v>
      </c>
      <c r="AW24" s="124">
        <f>SUM(AW17:AW23)</f>
        <v>156.51006711409394</v>
      </c>
      <c r="AX24" s="144">
        <f>SUM(AX17:AX23)</f>
        <v>158.38926174496643</v>
      </c>
      <c r="AY24" s="124">
        <f>SUM(AY17:AY23)</f>
        <v>170.33557046979865</v>
      </c>
      <c r="AZ24" s="123"/>
      <c r="BA24" s="144">
        <f>SUM(BA17:BA23)</f>
        <v>174.2281879194631</v>
      </c>
      <c r="BB24" s="124">
        <f>SUM(BB17:BB23)</f>
        <v>189.93288590604027</v>
      </c>
      <c r="BC24" s="144">
        <f>SUM(BC17:BC23)</f>
        <v>190.73825503355704</v>
      </c>
      <c r="BD24" s="124">
        <f>SUM(BD17:BD23)</f>
        <v>175.23154362416105</v>
      </c>
      <c r="BE24" s="123"/>
      <c r="BF24" s="144">
        <f>SUM(BF17:BF23)</f>
        <v>175.74663758389261</v>
      </c>
      <c r="BG24" s="124">
        <f>SUM(BG17:BG23)</f>
        <v>169.31576510067114</v>
      </c>
      <c r="BH24" s="144">
        <f>+'OLD Segment Data 2005-2019'!BS24+'OLD Segment Data 2005-2019'!BR24+'OLD Segment Data 2005-2019'!BQ24+'OLD Segment Data 2005-2019'!BN24+0.2</f>
        <v>179.80099999999999</v>
      </c>
      <c r="BI24" s="124">
        <f>+'OLD Segment Data 2005-2019'!BT24+'OLD Segment Data 2005-2019'!BS24+'OLD Segment Data 2005-2019'!BR24+'OLD Segment Data 2005-2019'!BQ24</f>
        <v>191.70100000000002</v>
      </c>
      <c r="BJ24" s="123"/>
      <c r="BK24" s="144">
        <f>SUM(BK17:BK23)</f>
        <v>204.20000000000002</v>
      </c>
      <c r="BL24" s="124">
        <f>+'OLD Segment Data 2005-2019'!BX24+'OLD Segment Data 2005-2019'!BW24+'OLD Segment Data 2005-2019'!BT24+'OLD Segment Data 2005-2019'!BS24</f>
        <v>230.8</v>
      </c>
      <c r="BM24" s="144">
        <f>+'OLD Segment Data 2005-2019'!BY24+'OLD Segment Data 2005-2019'!BX24+'OLD Segment Data 2005-2019'!BW24+'OLD Segment Data 2005-2019'!BT24</f>
        <v>248.79999999999998</v>
      </c>
      <c r="BN24" s="124">
        <f>+'OLD Segment Data 2005-2019'!CA24</f>
        <v>141.80000000000001</v>
      </c>
      <c r="BO24" s="123"/>
      <c r="BP24" s="144">
        <f>+'OLD Segment Data 2005-2019'!CA24+'OLD Segment Data 2005-2019'!CC24-'OLD Segment Data 2005-2019'!BW19-'OLD Segment Data 2005-2019'!BW22</f>
        <v>145</v>
      </c>
      <c r="BQ24" s="124">
        <f>+'OLD Segment Data 2005-2019'!CA24+'OLD Segment Data 2005-2019'!CC24+'OLD Segment Data 2005-2019'!CD24-'OLD Segment Data 2005-2019'!BW19-'OLD Segment Data 2005-2019'!BW22-'OLD Segment Data 2005-2019'!BX19-'OLD Segment Data 2005-2019'!BX22</f>
        <v>134.5</v>
      </c>
      <c r="BR24" s="144">
        <f>+'OLD Segment Data 2005-2019'!CE24+'OLD Segment Data 2005-2019'!CD24+'OLD Segment Data 2005-2019'!CC24+'OLD Segment Data 2005-2019'!BZ24</f>
        <v>119.10000000000001</v>
      </c>
      <c r="BS24" s="124">
        <f>+'OLD Segment Data 2005-2019'!CG24</f>
        <v>79.3</v>
      </c>
      <c r="BT24" s="123"/>
      <c r="BU24" s="144">
        <f>+'OLD Segment Data 2005-2019'!CI24+'OLD Segment Data 2005-2019'!CF24+'OLD Segment Data 2005-2019'!CE24+'OLD Segment Data 2005-2019'!CD24</f>
        <v>57.600000000000009</v>
      </c>
      <c r="BV24" s="124">
        <f>+'OLD Segment Data 2005-2019'!CJ24+'OLD Segment Data 2005-2019'!CI24+'OLD Segment Data 2005-2019'!CF24+'OLD Segment Data 2005-2019'!CE24</f>
        <v>37.800000000000011</v>
      </c>
      <c r="BW24" s="144">
        <f>+'OLD Segment Data 2005-2019'!CK24+'OLD Segment Data 2005-2019'!CJ24+'OLD Segment Data 2005-2019'!CI24+'OLD Segment Data 2005-2019'!CF24</f>
        <v>21.000000000000011</v>
      </c>
      <c r="BX24" s="124">
        <f>+'OLD Segment Data 2005-2019'!CM24</f>
        <v>29.700000000000003</v>
      </c>
    </row>
    <row r="25" spans="1:76" s="60" customFormat="1" x14ac:dyDescent="0.2">
      <c r="C25" s="137"/>
      <c r="D25" s="141"/>
      <c r="E25" s="137"/>
      <c r="F25" s="141"/>
      <c r="G25" s="137"/>
      <c r="H25" s="137"/>
      <c r="I25" s="141"/>
      <c r="J25" s="137"/>
      <c r="K25" s="141"/>
      <c r="L25" s="137"/>
      <c r="M25" s="137"/>
      <c r="N25" s="141"/>
      <c r="O25" s="137"/>
      <c r="P25" s="141"/>
      <c r="Q25" s="137"/>
      <c r="R25" s="140"/>
      <c r="S25" s="141"/>
      <c r="T25" s="140"/>
      <c r="U25" s="141"/>
      <c r="V25" s="137"/>
      <c r="W25" s="140"/>
      <c r="X25" s="141"/>
      <c r="Y25" s="140"/>
      <c r="Z25" s="141"/>
      <c r="AA25" s="137"/>
      <c r="AB25" s="140"/>
      <c r="AC25" s="141"/>
      <c r="AD25" s="140"/>
      <c r="AE25" s="141"/>
      <c r="AF25" s="137"/>
      <c r="AG25" s="140"/>
      <c r="AH25" s="141"/>
      <c r="AI25" s="140"/>
      <c r="AJ25" s="141"/>
      <c r="AK25" s="137"/>
      <c r="AL25" s="140"/>
      <c r="AM25" s="141"/>
      <c r="AN25" s="140"/>
      <c r="AO25" s="141"/>
      <c r="AP25" s="137"/>
      <c r="AQ25" s="140"/>
      <c r="AR25" s="141"/>
      <c r="AS25" s="140"/>
      <c r="AT25" s="141"/>
      <c r="AU25" s="137"/>
      <c r="AV25" s="140"/>
      <c r="AW25" s="141"/>
      <c r="AX25" s="140"/>
      <c r="AY25" s="141"/>
      <c r="AZ25" s="137"/>
      <c r="BA25" s="140"/>
      <c r="BB25" s="141"/>
      <c r="BC25" s="140"/>
      <c r="BD25" s="141"/>
      <c r="BE25" s="137"/>
      <c r="BF25" s="140"/>
      <c r="BG25" s="141"/>
      <c r="BH25" s="140"/>
      <c r="BI25" s="141"/>
      <c r="BJ25" s="137"/>
      <c r="BK25" s="140"/>
      <c r="BL25" s="141"/>
      <c r="BM25" s="140"/>
      <c r="BN25" s="141"/>
      <c r="BO25" s="137"/>
      <c r="BP25" s="140"/>
      <c r="BQ25" s="141"/>
      <c r="BR25" s="140"/>
      <c r="BS25" s="141"/>
      <c r="BT25" s="137"/>
      <c r="BU25" s="140"/>
      <c r="BV25" s="141"/>
      <c r="BW25" s="140"/>
      <c r="BX25" s="141"/>
    </row>
    <row r="26" spans="1:76" x14ac:dyDescent="0.2">
      <c r="A26" s="2" t="s">
        <v>39</v>
      </c>
      <c r="C26" s="31">
        <f>C24-C27</f>
        <v>78.120805369127538</v>
      </c>
      <c r="D26" s="84">
        <f>D24-D27</f>
        <v>80.939597315436231</v>
      </c>
      <c r="E26" s="31">
        <f>E24-E27</f>
        <v>88.053691275167765</v>
      </c>
      <c r="F26" s="84">
        <f>F24-F27</f>
        <v>96.241610738255034</v>
      </c>
      <c r="G26" s="31"/>
      <c r="H26" s="31">
        <f>H24-H27</f>
        <v>103.75838926174497</v>
      </c>
      <c r="I26" s="84">
        <f>I24-I27</f>
        <v>113.28859060402687</v>
      </c>
      <c r="J26" s="31">
        <f>J24-J27</f>
        <v>122.28187919463086</v>
      </c>
      <c r="K26" s="84">
        <f>K24-K27</f>
        <v>125.1006711409396</v>
      </c>
      <c r="L26" s="31"/>
      <c r="M26" s="31">
        <f>M24-M27</f>
        <v>149.79865771812078</v>
      </c>
      <c r="N26" s="84">
        <f>N24-N27</f>
        <v>161.61073825503354</v>
      </c>
      <c r="O26" s="31">
        <f>O24-O27</f>
        <v>167.51677852348996</v>
      </c>
      <c r="P26" s="84">
        <f>P24-P27</f>
        <v>185.36912751677852</v>
      </c>
      <c r="Q26" s="31"/>
      <c r="R26" s="85">
        <f>R24-R27</f>
        <v>192.48322147651004</v>
      </c>
      <c r="S26" s="84">
        <f>S24-S27</f>
        <v>200.80536912751677</v>
      </c>
      <c r="T26" s="85">
        <f>T24-T27</f>
        <v>204.69798657718121</v>
      </c>
      <c r="U26" s="84">
        <f>U24-U27</f>
        <v>178.52348993288589</v>
      </c>
      <c r="V26" s="31"/>
      <c r="W26" s="85">
        <f>W24-W27</f>
        <v>156.6442953020134</v>
      </c>
      <c r="X26" s="84">
        <f>X24-X27</f>
        <v>135.83892617449663</v>
      </c>
      <c r="Y26" s="85">
        <f>Y24-Y27</f>
        <v>123.35570469798657</v>
      </c>
      <c r="Z26" s="84">
        <f>Z24-Z27</f>
        <v>129.66442953020135</v>
      </c>
      <c r="AA26" s="31"/>
      <c r="AB26" s="85">
        <f>AB24-AB27</f>
        <v>141.20805369127518</v>
      </c>
      <c r="AC26" s="84">
        <f>AC24-AC27</f>
        <v>138.65771812080536</v>
      </c>
      <c r="AD26" s="85">
        <f>AD24-AD27</f>
        <v>139.59731543624162</v>
      </c>
      <c r="AE26" s="84">
        <f>AE24-AE27</f>
        <v>133.69127516778525</v>
      </c>
      <c r="AF26" s="31"/>
      <c r="AG26" s="85">
        <f>AG24-AG27</f>
        <v>132.08053691275168</v>
      </c>
      <c r="AH26" s="84">
        <f>AH24-AH27</f>
        <v>123.08724832214766</v>
      </c>
      <c r="AI26" s="85">
        <f>AI24-AI27</f>
        <v>127.65100671140938</v>
      </c>
      <c r="AJ26" s="84">
        <f>AJ24-AJ27</f>
        <v>138.92617449664431</v>
      </c>
      <c r="AK26" s="31"/>
      <c r="AL26" s="85">
        <f>AL24-AL27</f>
        <v>139.06040268456377</v>
      </c>
      <c r="AM26" s="84">
        <f>AM24-AM27</f>
        <v>142.28187919463087</v>
      </c>
      <c r="AN26" s="85">
        <f>AN24-AN27</f>
        <v>134.09395973154361</v>
      </c>
      <c r="AO26" s="84">
        <f>AO24-AO27</f>
        <v>138.255033557047</v>
      </c>
      <c r="AP26" s="31"/>
      <c r="AQ26" s="85">
        <f>AQ24-AQ27</f>
        <v>137.04697986577179</v>
      </c>
      <c r="AR26" s="84">
        <f>AR24-AR27</f>
        <v>142.28187919463087</v>
      </c>
      <c r="AS26" s="85">
        <f>AS24-AS27</f>
        <v>142.55033557046977</v>
      </c>
      <c r="AT26" s="84">
        <f>AT24-AT27</f>
        <v>144.83221476510067</v>
      </c>
      <c r="AU26" s="31"/>
      <c r="AV26" s="85">
        <f>AV24-AV27</f>
        <v>149.12751677852347</v>
      </c>
      <c r="AW26" s="84">
        <f>AW24-AW27</f>
        <v>155.1677852348993</v>
      </c>
      <c r="AX26" s="85">
        <f>AX24-AX27</f>
        <v>157.18120805369128</v>
      </c>
      <c r="AY26" s="84">
        <f>AY24-AY27</f>
        <v>167.51677852348993</v>
      </c>
      <c r="AZ26" s="31"/>
      <c r="BA26" s="85">
        <f>BA24-BA27</f>
        <v>171.54362416107384</v>
      </c>
      <c r="BB26" s="84">
        <f>BB24-BB27</f>
        <v>188.05369127516778</v>
      </c>
      <c r="BC26" s="85">
        <f>BC24-BC27</f>
        <v>187.11409395973155</v>
      </c>
      <c r="BD26" s="84">
        <f>BD24-BD27</f>
        <v>171.56040268456374</v>
      </c>
      <c r="BE26" s="31"/>
      <c r="BF26" s="85">
        <f>BF24-BF27</f>
        <v>172.24126845637582</v>
      </c>
      <c r="BG26" s="84">
        <f>BG24-BG27</f>
        <v>165.03657046979865</v>
      </c>
      <c r="BH26" s="85">
        <f>BH24-BH27</f>
        <v>176.50099999999998</v>
      </c>
      <c r="BI26" s="84">
        <f>BI24-BI27</f>
        <v>185.40100000000001</v>
      </c>
      <c r="BJ26" s="31"/>
      <c r="BK26" s="85">
        <f>BK24-BK27</f>
        <v>199.70000000000002</v>
      </c>
      <c r="BL26" s="84">
        <f>BL24-BL27</f>
        <v>225.3</v>
      </c>
      <c r="BM26" s="85">
        <f>BM24-BM27</f>
        <v>244.99999999999997</v>
      </c>
      <c r="BN26" s="84">
        <f>+'OLD Segment Data 2005-2019'!CA19</f>
        <v>138.30000000000001</v>
      </c>
      <c r="BO26" s="31"/>
      <c r="BP26" s="85">
        <f>BP24-BP27</f>
        <v>140.9</v>
      </c>
      <c r="BQ26" s="84">
        <f>BQ24-BQ27</f>
        <v>130.1</v>
      </c>
      <c r="BR26" s="85">
        <f>BR24-BR27</f>
        <v>112.4</v>
      </c>
      <c r="BS26" s="84">
        <f>BS24-BS27</f>
        <v>70.3</v>
      </c>
      <c r="BT26" s="31"/>
      <c r="BU26" s="85">
        <f>BU24-BU27</f>
        <v>47.500000000000007</v>
      </c>
      <c r="BV26" s="84">
        <f>BV24-BV27</f>
        <v>24.800000000000011</v>
      </c>
      <c r="BW26" s="85">
        <f>BW24-BW27</f>
        <v>5.6000000000000121</v>
      </c>
      <c r="BX26" s="84">
        <f>BX24-BX27</f>
        <v>15.100000000000001</v>
      </c>
    </row>
    <row r="27" spans="1:76" x14ac:dyDescent="0.2">
      <c r="A27" s="2" t="s">
        <v>40</v>
      </c>
      <c r="C27" s="31">
        <v>-7.2483221476510069</v>
      </c>
      <c r="D27" s="84">
        <v>-5.3691275167785237</v>
      </c>
      <c r="E27" s="31">
        <v>-2.9530201342281877</v>
      </c>
      <c r="F27" s="84">
        <v>-1.0738255033557047</v>
      </c>
      <c r="G27" s="31"/>
      <c r="H27" s="31">
        <f>'OLD Segment Data 2005-2019'!D35+'OLD Segment Data 2005-2019'!E35+'OLD Segment Data 2005-2019'!F35+'OLD Segment Data 2005-2019'!I35</f>
        <v>-1.7449664429530203</v>
      </c>
      <c r="I27" s="84">
        <f>'OLD Segment Data 2005-2019'!J35+'OLD Segment Data 2005-2019'!I35+'OLD Segment Data 2005-2019'!F35+'OLD Segment Data 2005-2019'!E35</f>
        <v>-2.0134228187919461</v>
      </c>
      <c r="J27" s="31">
        <f>'OLD Segment Data 2005-2019'!K35+'OLD Segment Data 2005-2019'!J35+'OLD Segment Data 2005-2019'!I35+'OLD Segment Data 2005-2019'!F35</f>
        <v>-2.8187919463087248</v>
      </c>
      <c r="K27" s="84">
        <f>'OLD Segment Data 2005-2019'!M35</f>
        <v>-2.4161073825503356</v>
      </c>
      <c r="L27" s="31"/>
      <c r="M27" s="31">
        <v>-2.9530201342281877</v>
      </c>
      <c r="N27" s="84">
        <v>-2.4161073825503356</v>
      </c>
      <c r="O27" s="31">
        <v>-1.8791946308724832</v>
      </c>
      <c r="P27" s="84">
        <v>-2.4161073825503356</v>
      </c>
      <c r="Q27" s="31"/>
      <c r="R27" s="31">
        <v>-2.9530201342281877</v>
      </c>
      <c r="S27" s="84">
        <v>-2.6845637583892619</v>
      </c>
      <c r="T27" s="31">
        <v>-2.9530201342281877</v>
      </c>
      <c r="U27" s="84">
        <v>-4.0268456375838921</v>
      </c>
      <c r="V27" s="31"/>
      <c r="W27" s="31">
        <v>-3.3557046979865772</v>
      </c>
      <c r="X27" s="84">
        <v>-4.9664429530201337</v>
      </c>
      <c r="Y27" s="31">
        <v>-5.5033557046979862</v>
      </c>
      <c r="Z27" s="84">
        <v>-4.1610738255033555</v>
      </c>
      <c r="AA27" s="31"/>
      <c r="AB27" s="31">
        <v>-3.8926174496644292</v>
      </c>
      <c r="AC27" s="84">
        <v>-2.9530201342281877</v>
      </c>
      <c r="AD27" s="31">
        <v>-2.0134228187919461</v>
      </c>
      <c r="AE27" s="84">
        <v>-1.4765100671140938</v>
      </c>
      <c r="AF27" s="31"/>
      <c r="AG27" s="31">
        <v>-1.7449664429530201</v>
      </c>
      <c r="AH27" s="84">
        <v>-1.2080536912751678</v>
      </c>
      <c r="AI27" s="31">
        <v>-0.53691275167785235</v>
      </c>
      <c r="AJ27" s="84">
        <v>0.13422818791946309</v>
      </c>
      <c r="AK27" s="31"/>
      <c r="AL27" s="31">
        <f>(+'OLD Segment Data 2005-2019'!AS35+'OLD Segment Data 2005-2019'!AP35+'OLD Segment Data 2005-2019'!AO35+'OLD Segment Data 2005-2019'!AN35)</f>
        <v>1.0738255033557047</v>
      </c>
      <c r="AM27" s="84">
        <f>('OLD Segment Data 2005-2019'!AO35+'OLD Segment Data 2005-2019'!AP35+'OLD Segment Data 2005-2019'!AS35+'OLD Segment Data 2005-2019'!AT35)</f>
        <v>0.67114093959731524</v>
      </c>
      <c r="AN27" s="31">
        <f>('OLD Segment Data 2005-2019'!AP35+'OLD Segment Data 2005-2019'!AS35+'OLD Segment Data 2005-2019'!AT35+'OLD Segment Data 2005-2019'!AU35)</f>
        <v>0.13422818791946303</v>
      </c>
      <c r="AO27" s="84">
        <f>('OLD Segment Data 2005-2019'!AW35)</f>
        <v>1.2080536912751674</v>
      </c>
      <c r="AP27" s="31"/>
      <c r="AQ27" s="85">
        <f>(+'OLD Segment Data 2005-2019'!AY35+'OLD Segment Data 2005-2019'!AV35+'OLD Segment Data 2005-2019'!AU35+'OLD Segment Data 2005-2019'!AT35)</f>
        <v>0.67114093959731524</v>
      </c>
      <c r="AR27" s="84">
        <f>('OLD Segment Data 2005-2019'!AU35+'OLD Segment Data 2005-2019'!AV35+'OLD Segment Data 2005-2019'!AY35+'OLD Segment Data 2005-2019'!AZ35)</f>
        <v>1.0738255033557043</v>
      </c>
      <c r="AS27" s="31">
        <f>('OLD Segment Data 2005-2019'!AV35+'OLD Segment Data 2005-2019'!AY35+'OLD Segment Data 2005-2019'!AZ35+'OLD Segment Data 2005-2019'!BA35)</f>
        <v>1.4765100671140938</v>
      </c>
      <c r="AT27" s="84">
        <f>('OLD Segment Data 2005-2019'!BC35)</f>
        <v>0.80536912751677847</v>
      </c>
      <c r="AU27" s="31"/>
      <c r="AV27" s="85">
        <f>(+'OLD Segment Data 2005-2019'!BE35+'OLD Segment Data 2005-2019'!BB35+'OLD Segment Data 2005-2019'!BA35+'OLD Segment Data 2005-2019'!AZ35)</f>
        <v>1.476510067114094</v>
      </c>
      <c r="AW27" s="84">
        <f>(+'OLD Segment Data 2005-2019'!BF35+'OLD Segment Data 2005-2019'!BE35+'OLD Segment Data 2005-2019'!BB35+'OLD Segment Data 2005-2019'!BA35)</f>
        <v>1.3422818791946309</v>
      </c>
      <c r="AX27" s="31">
        <f>('OLD Segment Data 2005-2019'!BB35+'OLD Segment Data 2005-2019'!BE35+'OLD Segment Data 2005-2019'!BF35+'OLD Segment Data 2005-2019'!BG35)</f>
        <v>1.2080536912751678</v>
      </c>
      <c r="AY27" s="84">
        <f>('OLD Segment Data 2005-2019'!BE35+'OLD Segment Data 2005-2019'!BF35+'OLD Segment Data 2005-2019'!BG35+'OLD Segment Data 2005-2019'!BH35)</f>
        <v>2.8187919463087248</v>
      </c>
      <c r="AZ27" s="31"/>
      <c r="BA27" s="85">
        <f>+'OLD Segment Data 2005-2019'!BK35+'OLD Segment Data 2005-2019'!BH35+'OLD Segment Data 2005-2019'!BG35+'OLD Segment Data 2005-2019'!BF35</f>
        <v>2.6845637583892614</v>
      </c>
      <c r="BB27" s="84">
        <f>+'OLD Segment Data 2005-2019'!BL35+'OLD Segment Data 2005-2019'!BK35+'OLD Segment Data 2005-2019'!BH35+'OLD Segment Data 2005-2019'!BG35</f>
        <v>1.879194630872483</v>
      </c>
      <c r="BC27" s="31">
        <f>+'OLD Segment Data 2005-2019'!BM35+'OLD Segment Data 2005-2019'!BL35+'OLD Segment Data 2005-2019'!BK35+'OLD Segment Data 2005-2019'!BH35</f>
        <v>3.624161073825503</v>
      </c>
      <c r="BD27" s="84">
        <f>+'OLD Segment Data 2005-2019'!BO22</f>
        <v>3.6711409395973154</v>
      </c>
      <c r="BE27" s="31"/>
      <c r="BF27" s="85">
        <f>+'OLD Segment Data 2005-2019'!BQ22+'OLD Segment Data 2005-2019'!BN22+'OLD Segment Data 2005-2019'!BM22+'OLD Segment Data 2005-2019'!BL22</f>
        <v>3.5053691275167784</v>
      </c>
      <c r="BG27" s="84">
        <f>+'OLD Segment Data 2005-2019'!BR22+'OLD Segment Data 2005-2019'!BQ22+'OLD Segment Data 2005-2019'!BN22+'OLD Segment Data 2005-2019'!BM22</f>
        <v>4.2791946308724835</v>
      </c>
      <c r="BH27" s="85">
        <f>+'OLD Segment Data 2005-2019'!BS22+'OLD Segment Data 2005-2019'!BR22+'OLD Segment Data 2005-2019'!BQ22+'OLD Segment Data 2005-2019'!BN22</f>
        <v>3.3000000000000003</v>
      </c>
      <c r="BI27" s="84">
        <f>+'OLD Segment Data 2005-2019'!BT22+'OLD Segment Data 2005-2019'!BS22+'OLD Segment Data 2005-2019'!BR22+'OLD Segment Data 2005-2019'!BQ22</f>
        <v>6.3000000000000007</v>
      </c>
      <c r="BJ27" s="31"/>
      <c r="BK27" s="85">
        <f>+'OLD Segment Data 2005-2019'!BW22+'OLD Segment Data 2005-2019'!BT22+'OLD Segment Data 2005-2019'!BS22+'OLD Segment Data 2005-2019'!BR22</f>
        <v>4.5</v>
      </c>
      <c r="BL27" s="84">
        <f>+'OLD Segment Data 2005-2019'!BX22+'OLD Segment Data 2005-2019'!BW22+'OLD Segment Data 2005-2019'!BT22+'OLD Segment Data 2005-2019'!BS22</f>
        <v>5.5</v>
      </c>
      <c r="BM27" s="85">
        <f>+'OLD Segment Data 2005-2019'!BY22+'OLD Segment Data 2005-2019'!BX22+'OLD Segment Data 2005-2019'!BW22+'OLD Segment Data 2005-2019'!BT22</f>
        <v>3.8</v>
      </c>
      <c r="BN27" s="84">
        <f>+'OLD Segment Data 2005-2019'!CA22</f>
        <v>3.5</v>
      </c>
      <c r="BO27" s="31"/>
      <c r="BP27" s="85">
        <f>+'OLD Segment Data 2005-2019'!CC22+'OLD Segment Data 2005-2019'!BY22+'OLD Segment Data 2005-2019'!BX22+'OLD Segment Data 2005-2019'!BZ22</f>
        <v>4.1000000000000005</v>
      </c>
      <c r="BQ27" s="84">
        <f>+'OLD Segment Data 2005-2019'!CD22+'OLD Segment Data 2005-2019'!CC22+'OLD Segment Data 2005-2019'!BZ22+'OLD Segment Data 2005-2019'!BY22</f>
        <v>4.4000000000000004</v>
      </c>
      <c r="BR27" s="85">
        <f>+'OLD Segment Data 2005-2019'!CE22+'OLD Segment Data 2005-2019'!CD22+'OLD Segment Data 2005-2019'!CC22+'OLD Segment Data 2005-2019'!BZ22</f>
        <v>6.7</v>
      </c>
      <c r="BS27" s="84">
        <f>+'OLD Segment Data 2005-2019'!CG22</f>
        <v>9</v>
      </c>
      <c r="BT27" s="31"/>
      <c r="BU27" s="85">
        <f>+'OLD Segment Data 2005-2019'!CI22+'OLD Segment Data 2005-2019'!CF22+'OLD Segment Data 2005-2019'!CE22+'OLD Segment Data 2005-2019'!CD22</f>
        <v>10.1</v>
      </c>
      <c r="BV27" s="84">
        <f>+'OLD Segment Data 2005-2019'!CJ22+'OLD Segment Data 2005-2019'!CI22+'OLD Segment Data 2005-2019'!CF22+'OLD Segment Data 2005-2019'!CE22</f>
        <v>13</v>
      </c>
      <c r="BW27" s="85">
        <f>+'OLD Segment Data 2005-2019'!CK22+'OLD Segment Data 2005-2019'!CJ22+'OLD Segment Data 2005-2019'!CI22+'OLD Segment Data 2005-2019'!CF22</f>
        <v>15.399999999999999</v>
      </c>
      <c r="BX27" s="84">
        <f>+'OLD Segment Data 2005-2019'!CM22</f>
        <v>14.600000000000001</v>
      </c>
    </row>
    <row r="28" spans="1:76" s="56" customFormat="1" x14ac:dyDescent="0.2">
      <c r="A28" s="56" t="s">
        <v>75</v>
      </c>
      <c r="C28" s="123">
        <f>SUM(C26:C27)</f>
        <v>70.872483221476529</v>
      </c>
      <c r="D28" s="124">
        <f>SUM(D26:D27)</f>
        <v>75.570469798657712</v>
      </c>
      <c r="E28" s="123">
        <f>SUM(E26:E27)</f>
        <v>85.100671140939582</v>
      </c>
      <c r="F28" s="124">
        <f>SUM(F26:F27)</f>
        <v>95.167785234899327</v>
      </c>
      <c r="G28" s="123"/>
      <c r="H28" s="123">
        <f>SUM(H26:H27)</f>
        <v>102.01342281879195</v>
      </c>
      <c r="I28" s="124">
        <f>SUM(I26:I27)</f>
        <v>111.27516778523491</v>
      </c>
      <c r="J28" s="123">
        <f>SUM(J26:J27)</f>
        <v>119.46308724832214</v>
      </c>
      <c r="K28" s="124">
        <f>SUM(K26:K27)</f>
        <v>122.68456375838926</v>
      </c>
      <c r="L28" s="123"/>
      <c r="M28" s="123">
        <f>SUM(M26:M27)</f>
        <v>146.8456375838926</v>
      </c>
      <c r="N28" s="124">
        <f>SUM(N26:N27)</f>
        <v>159.1946308724832</v>
      </c>
      <c r="O28" s="123">
        <f>SUM(O26:O27)</f>
        <v>165.63758389261747</v>
      </c>
      <c r="P28" s="124">
        <f>SUM(P26:P27)</f>
        <v>182.95302013422818</v>
      </c>
      <c r="Q28" s="123"/>
      <c r="R28" s="144">
        <f>SUM(R26:R27)</f>
        <v>189.53020134228186</v>
      </c>
      <c r="S28" s="124">
        <f>SUM(S26:S27)</f>
        <v>198.12080536912751</v>
      </c>
      <c r="T28" s="144">
        <f>SUM(T26:T27)</f>
        <v>201.74496644295303</v>
      </c>
      <c r="U28" s="124">
        <f>SUM(U26:U27)</f>
        <v>174.49664429530199</v>
      </c>
      <c r="V28" s="123"/>
      <c r="W28" s="144">
        <f>SUM(W26:W27)</f>
        <v>153.28859060402684</v>
      </c>
      <c r="X28" s="124">
        <f>SUM(X26:X27)</f>
        <v>130.8724832214765</v>
      </c>
      <c r="Y28" s="144">
        <f>SUM(Y26:Y27)</f>
        <v>117.85234899328859</v>
      </c>
      <c r="Z28" s="124">
        <f>SUM(Z26:Z27)</f>
        <v>125.503355704698</v>
      </c>
      <c r="AA28" s="123"/>
      <c r="AB28" s="144">
        <f>SUM(AB26:AB27)</f>
        <v>137.31543624161074</v>
      </c>
      <c r="AC28" s="124">
        <f>SUM(AC26:AC27)</f>
        <v>135.70469798657717</v>
      </c>
      <c r="AD28" s="144">
        <f>SUM(AD26:AD27)</f>
        <v>137.58389261744966</v>
      </c>
      <c r="AE28" s="124">
        <f>SUM(AE26:AE27)</f>
        <v>132.21476510067114</v>
      </c>
      <c r="AF28" s="123"/>
      <c r="AG28" s="144">
        <f>SUM(AG26:AG27)</f>
        <v>130.33557046979865</v>
      </c>
      <c r="AH28" s="124">
        <f>SUM(AH26:AH27)</f>
        <v>121.87919463087249</v>
      </c>
      <c r="AI28" s="144">
        <f>SUM(AI26:AI27)</f>
        <v>127.11409395973153</v>
      </c>
      <c r="AJ28" s="124">
        <f>SUM(AJ26:AJ27)</f>
        <v>139.06040268456377</v>
      </c>
      <c r="AK28" s="123"/>
      <c r="AL28" s="144">
        <f>SUM(AL26:AL27)</f>
        <v>140.13422818791946</v>
      </c>
      <c r="AM28" s="124">
        <f>SUM(AM26:AM27)</f>
        <v>142.95302013422818</v>
      </c>
      <c r="AN28" s="144">
        <f>SUM(AN26:AN27)</f>
        <v>134.22818791946307</v>
      </c>
      <c r="AO28" s="124">
        <f>SUM(AO26:AO27)</f>
        <v>139.46308724832215</v>
      </c>
      <c r="AP28" s="123"/>
      <c r="AQ28" s="144">
        <f>SUM(AQ26:AQ27)</f>
        <v>137.7181208053691</v>
      </c>
      <c r="AR28" s="124">
        <f>SUM(AR26:AR27)</f>
        <v>143.35570469798657</v>
      </c>
      <c r="AS28" s="144">
        <f>SUM(AS26:AS27)</f>
        <v>144.02684563758388</v>
      </c>
      <c r="AT28" s="124">
        <f>SUM(AT26:AT27)</f>
        <v>145.63758389261744</v>
      </c>
      <c r="AU28" s="123"/>
      <c r="AV28" s="144">
        <f>SUM(AV26:AV27)</f>
        <v>150.60402684563758</v>
      </c>
      <c r="AW28" s="124">
        <f>SUM(AW26:AW27)</f>
        <v>156.51006711409394</v>
      </c>
      <c r="AX28" s="144">
        <f>SUM(AX26:AX27)</f>
        <v>158.38926174496643</v>
      </c>
      <c r="AY28" s="124">
        <f>SUM(AY26:AY27)</f>
        <v>170.33557046979865</v>
      </c>
      <c r="AZ28" s="123"/>
      <c r="BA28" s="144">
        <f>SUM(BA26:BA27)</f>
        <v>174.2281879194631</v>
      </c>
      <c r="BB28" s="124">
        <f>SUM(BB26:BB27)</f>
        <v>189.93288590604027</v>
      </c>
      <c r="BC28" s="144">
        <f>SUM(BC26:BC27)</f>
        <v>190.73825503355704</v>
      </c>
      <c r="BD28" s="124">
        <f>SUM(BD26:BD27)</f>
        <v>175.23154362416105</v>
      </c>
      <c r="BE28" s="123"/>
      <c r="BF28" s="144">
        <f>SUM(BF26:BF27)</f>
        <v>175.74663758389261</v>
      </c>
      <c r="BG28" s="124">
        <f>SUM(BG26:BG27)</f>
        <v>169.31576510067114</v>
      </c>
      <c r="BH28" s="144">
        <f>SUM(BH26:BH27)</f>
        <v>179.80099999999999</v>
      </c>
      <c r="BI28" s="124">
        <f>SUM(BI26:BI27)</f>
        <v>191.70100000000002</v>
      </c>
      <c r="BJ28" s="123"/>
      <c r="BK28" s="144">
        <f>SUM(BK26:BK27)</f>
        <v>204.20000000000002</v>
      </c>
      <c r="BL28" s="124">
        <f>SUM(BL26:BL27)</f>
        <v>230.8</v>
      </c>
      <c r="BM28" s="144">
        <f>SUM(BM26:BM27)</f>
        <v>248.79999999999998</v>
      </c>
      <c r="BN28" s="124">
        <f>SUM(BN26:BN27)</f>
        <v>141.80000000000001</v>
      </c>
      <c r="BO28" s="123"/>
      <c r="BP28" s="144">
        <f>SUM(BP26:BP27)</f>
        <v>145</v>
      </c>
      <c r="BQ28" s="124">
        <f>SUM(BQ26:BQ27)</f>
        <v>134.5</v>
      </c>
      <c r="BR28" s="144">
        <f>SUM(BR26:BR27)</f>
        <v>119.10000000000001</v>
      </c>
      <c r="BS28" s="124">
        <f>SUM(BS26:BS27)</f>
        <v>79.3</v>
      </c>
      <c r="BT28" s="123"/>
      <c r="BU28" s="144">
        <f>SUM(BU26:BU27)</f>
        <v>57.600000000000009</v>
      </c>
      <c r="BV28" s="124">
        <f>SUM(BV26:BV27)</f>
        <v>37.800000000000011</v>
      </c>
      <c r="BW28" s="144">
        <f>SUM(BW26:BW27)</f>
        <v>21.000000000000011</v>
      </c>
      <c r="BX28" s="124">
        <f>SUM(BX26:BX27)</f>
        <v>29.700000000000003</v>
      </c>
    </row>
    <row r="29" spans="1:76" s="60" customFormat="1" x14ac:dyDescent="0.2">
      <c r="C29" s="137"/>
      <c r="D29" s="141"/>
      <c r="E29" s="137"/>
      <c r="F29" s="141"/>
      <c r="G29" s="137"/>
      <c r="H29" s="137"/>
      <c r="I29" s="141"/>
      <c r="J29" s="137"/>
      <c r="K29" s="141"/>
      <c r="L29" s="137"/>
      <c r="M29" s="137"/>
      <c r="N29" s="141"/>
      <c r="O29" s="137"/>
      <c r="P29" s="141"/>
      <c r="Q29" s="137"/>
      <c r="R29" s="140"/>
      <c r="S29" s="141"/>
      <c r="T29" s="140"/>
      <c r="U29" s="141"/>
      <c r="V29" s="137"/>
      <c r="W29" s="140"/>
      <c r="X29" s="141"/>
      <c r="Y29" s="140"/>
      <c r="Z29" s="141"/>
      <c r="AA29" s="137"/>
      <c r="AB29" s="140"/>
      <c r="AC29" s="141"/>
      <c r="AD29" s="140"/>
      <c r="AE29" s="141"/>
      <c r="AF29" s="137"/>
      <c r="AG29" s="140"/>
      <c r="AH29" s="141"/>
      <c r="AI29" s="140"/>
      <c r="AJ29" s="141"/>
      <c r="AK29" s="137"/>
      <c r="AL29" s="140"/>
      <c r="AM29" s="141"/>
      <c r="AN29" s="140"/>
      <c r="AO29" s="141"/>
      <c r="AP29" s="137"/>
      <c r="AQ29" s="140"/>
      <c r="AR29" s="141"/>
      <c r="AS29" s="140"/>
      <c r="AT29" s="141"/>
      <c r="AU29" s="137"/>
      <c r="AV29" s="140"/>
      <c r="AW29" s="141"/>
      <c r="AX29" s="140"/>
      <c r="AY29" s="141"/>
      <c r="AZ29" s="137"/>
      <c r="BA29" s="140"/>
      <c r="BB29" s="141"/>
      <c r="BC29" s="140"/>
      <c r="BD29" s="141"/>
      <c r="BE29" s="137"/>
      <c r="BF29" s="140"/>
      <c r="BG29" s="141"/>
      <c r="BH29" s="140"/>
      <c r="BI29" s="141"/>
      <c r="BJ29" s="137"/>
      <c r="BK29" s="140"/>
      <c r="BL29" s="141"/>
      <c r="BM29" s="140"/>
      <c r="BN29" s="141"/>
      <c r="BO29" s="137"/>
      <c r="BP29" s="140"/>
      <c r="BQ29" s="141"/>
      <c r="BR29" s="140"/>
      <c r="BS29" s="141"/>
      <c r="BT29" s="137"/>
      <c r="BU29" s="140"/>
      <c r="BV29" s="141"/>
      <c r="BW29" s="140"/>
      <c r="BX29" s="141"/>
    </row>
    <row r="30" spans="1:76" x14ac:dyDescent="0.2"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  <c r="BP30" s="3"/>
      <c r="BQ30" s="54"/>
      <c r="BR30" s="3"/>
      <c r="BS30" s="54"/>
      <c r="BU30" s="3"/>
      <c r="BV30" s="54"/>
      <c r="BW30" s="3"/>
      <c r="BX30" s="54"/>
    </row>
    <row r="31" spans="1:76" x14ac:dyDescent="0.2">
      <c r="A31" s="5" t="s">
        <v>41</v>
      </c>
      <c r="D31" s="54"/>
      <c r="F31" s="54"/>
      <c r="I31" s="54"/>
      <c r="K31" s="54"/>
      <c r="N31" s="54"/>
      <c r="P31" s="54"/>
      <c r="R31" s="3"/>
      <c r="S31" s="54"/>
      <c r="T31" s="3"/>
      <c r="U31" s="54"/>
      <c r="W31" s="3"/>
      <c r="X31" s="54"/>
      <c r="Y31" s="3"/>
      <c r="Z31" s="54"/>
      <c r="AB31" s="3"/>
      <c r="AC31" s="54"/>
      <c r="AD31" s="3"/>
      <c r="AE31" s="54"/>
      <c r="AG31" s="3"/>
      <c r="AH31" s="54"/>
      <c r="AI31" s="3"/>
      <c r="AJ31" s="54"/>
      <c r="AL31" s="3"/>
      <c r="AM31" s="54"/>
      <c r="AN31" s="3"/>
      <c r="AO31" s="54"/>
      <c r="AQ31" s="3"/>
      <c r="AR31" s="54"/>
      <c r="AS31" s="3"/>
      <c r="AT31" s="54"/>
      <c r="AV31" s="3"/>
      <c r="AW31" s="54"/>
      <c r="AX31" s="3"/>
      <c r="AY31" s="54"/>
      <c r="BA31" s="3"/>
      <c r="BB31" s="54"/>
      <c r="BC31" s="3"/>
      <c r="BD31" s="54"/>
      <c r="BF31" s="3"/>
      <c r="BG31" s="54"/>
      <c r="BH31" s="3"/>
      <c r="BI31" s="54"/>
      <c r="BK31" s="3"/>
      <c r="BL31" s="54"/>
      <c r="BM31" s="3"/>
      <c r="BN31" s="54"/>
      <c r="BP31" s="3"/>
      <c r="BQ31" s="54"/>
      <c r="BR31" s="3"/>
      <c r="BS31" s="54"/>
      <c r="BU31" s="3"/>
      <c r="BV31" s="54"/>
      <c r="BW31" s="3"/>
      <c r="BX31" s="54"/>
    </row>
    <row r="32" spans="1:76" x14ac:dyDescent="0.2">
      <c r="A32" s="2" t="s">
        <v>100</v>
      </c>
      <c r="C32" s="32">
        <f>C15/C28</f>
        <v>9.935606060606057</v>
      </c>
      <c r="D32" s="71">
        <f>D15/D28</f>
        <v>11.063055062166963</v>
      </c>
      <c r="E32" s="32">
        <f>E15/E28</f>
        <v>11.120646687697162</v>
      </c>
      <c r="F32" s="71">
        <f>F15/F28</f>
        <v>10.735056417489421</v>
      </c>
      <c r="H32" s="32">
        <f>H15/H28</f>
        <v>13.606124999999999</v>
      </c>
      <c r="I32" s="71">
        <f>I15/I28</f>
        <v>11.899218335343784</v>
      </c>
      <c r="J32" s="32">
        <f>J15/J28</f>
        <v>12.960139325842697</v>
      </c>
      <c r="K32" s="71">
        <f>K15/K28</f>
        <v>14.029831509846828</v>
      </c>
      <c r="M32" s="32">
        <f>M15/M28</f>
        <v>11.426010968921391</v>
      </c>
      <c r="N32" s="71">
        <f>N15/N28</f>
        <v>12.862091062394606</v>
      </c>
      <c r="O32" s="32">
        <f>O15/O28</f>
        <v>13.080356564019446</v>
      </c>
      <c r="P32" s="71">
        <f>P15/P28</f>
        <v>9.4248275862068969</v>
      </c>
      <c r="R32" s="33">
        <f>R15/R28</f>
        <v>7.2734985835694062</v>
      </c>
      <c r="S32" s="71">
        <f>S15/S28</f>
        <v>8.0766395663956647</v>
      </c>
      <c r="T32" s="33">
        <f>T15/T28</f>
        <v>5.7610113107119094</v>
      </c>
      <c r="U32" s="71">
        <f>U15/U28</f>
        <v>3.6952615384615393</v>
      </c>
      <c r="W32" s="33">
        <f>W15/W28</f>
        <v>4.0353590192644484</v>
      </c>
      <c r="X32" s="71">
        <f>X15/X28</f>
        <v>7.0229230769230764</v>
      </c>
      <c r="Y32" s="33">
        <f>Y15/Y28</f>
        <v>11.096902050113895</v>
      </c>
      <c r="Z32" s="71">
        <f>Z15/Z28</f>
        <v>10.294374331550801</v>
      </c>
      <c r="AB32" s="33">
        <f>AB15/AB28</f>
        <v>10.388484848484849</v>
      </c>
      <c r="AC32" s="71">
        <f>AC15/AC28</f>
        <v>10.184089020771514</v>
      </c>
      <c r="AD32" s="33">
        <f>AD15/AD28</f>
        <v>10.282409756097561</v>
      </c>
      <c r="AE32" s="71">
        <f>AE15/AE28</f>
        <v>11.308951269035534</v>
      </c>
      <c r="AG32" s="33">
        <f>AG15/AG28</f>
        <v>12.499599573635427</v>
      </c>
      <c r="AH32" s="71">
        <f>AH15/AH28</f>
        <v>14.020178707048457</v>
      </c>
      <c r="AI32" s="33">
        <f>AI15/AI28</f>
        <v>10.091269174234425</v>
      </c>
      <c r="AJ32" s="71">
        <f>AJ15/AJ28</f>
        <v>8.6439824459459444</v>
      </c>
      <c r="AL32" s="33">
        <f>AL15/AL28</f>
        <v>10.100465565134099</v>
      </c>
      <c r="AM32" s="71">
        <f>AM15/AM28</f>
        <v>6.7813051643192495</v>
      </c>
      <c r="AN32" s="33">
        <f>AN15/AN28</f>
        <v>7.5678220000000005</v>
      </c>
      <c r="AO32" s="71">
        <f>AO15/AO28</f>
        <v>6.519195380173243</v>
      </c>
      <c r="AQ32" s="33">
        <f>AQ15/AQ28</f>
        <v>7.7351345029239766</v>
      </c>
      <c r="AR32" s="71">
        <f>AR15/AR28</f>
        <v>7.3103220973782781</v>
      </c>
      <c r="AS32" s="33">
        <f>AS15/AS28</f>
        <v>8.6633010251630953</v>
      </c>
      <c r="AT32" s="71">
        <f>AT15/AT28</f>
        <v>7.8438746543778803</v>
      </c>
      <c r="AV32" s="33">
        <f>AV15/AV28</f>
        <v>8.4635454545454554</v>
      </c>
      <c r="AW32" s="71">
        <f>AW15/AW28</f>
        <v>9.3795180102915978</v>
      </c>
      <c r="AX32" s="33">
        <f>AX15/AX28</f>
        <v>8.3716313559322018</v>
      </c>
      <c r="AY32" s="71">
        <f>AY15/AY28</f>
        <v>7.1406808510638298</v>
      </c>
      <c r="BA32" s="33">
        <f>BA15/BA28</f>
        <v>9.2892950693374416</v>
      </c>
      <c r="BB32" s="71">
        <f>BB15/BB28</f>
        <v>7.5638558303886931</v>
      </c>
      <c r="BC32" s="33">
        <f>BC15/BC28</f>
        <v>6.8552906403940881</v>
      </c>
      <c r="BD32" s="71">
        <f>BD15/BD28</f>
        <v>7.1054007162144064</v>
      </c>
      <c r="BF32" s="33">
        <f>BF15/BF28</f>
        <v>7.8900571059260942</v>
      </c>
      <c r="BG32" s="71">
        <f>BG15/BG28</f>
        <v>7.4611944823795131</v>
      </c>
      <c r="BH32" s="33">
        <f>BH15/BH28</f>
        <v>8.4462654816478864</v>
      </c>
      <c r="BI32" s="71">
        <f>BI15/BI28</f>
        <v>9.0192784491816784</v>
      </c>
      <c r="BK32" s="33">
        <f>BK15/BK28</f>
        <v>12.131488407864376</v>
      </c>
      <c r="BL32" s="71">
        <f>BL15/BL28</f>
        <v>11.446965326323381</v>
      </c>
      <c r="BM32" s="33">
        <f>BM15/BM28</f>
        <v>10.782310257018926</v>
      </c>
      <c r="BN32" s="71">
        <f>BN15/BN28</f>
        <v>9.3344421200102232</v>
      </c>
      <c r="BP32" s="33">
        <f>BP15/BP28</f>
        <v>7.9309761629252487</v>
      </c>
      <c r="BQ32" s="71">
        <f>BQ15/BQ28</f>
        <v>7.7820663157106873</v>
      </c>
      <c r="BR32" s="33">
        <f>BR15/BR28</f>
        <v>8.9467617872297254</v>
      </c>
      <c r="BS32" s="71">
        <f>BS15/BS28</f>
        <v>9.1339366913576914</v>
      </c>
      <c r="BU32" s="33">
        <f>BU15/BU28</f>
        <v>16.015117664581467</v>
      </c>
      <c r="BV32" s="71">
        <f>BV15/BV28</f>
        <v>22.744854390966985</v>
      </c>
      <c r="BW32" s="33">
        <f>BW15/BW28</f>
        <v>46.848270139154835</v>
      </c>
      <c r="BX32" s="71">
        <f>BX15/BX28</f>
        <v>33.094916998402248</v>
      </c>
    </row>
    <row r="33" spans="1:76" x14ac:dyDescent="0.2">
      <c r="A33" s="2" t="s">
        <v>101</v>
      </c>
      <c r="C33" s="32">
        <f>C15/C26</f>
        <v>9.0137457044673504</v>
      </c>
      <c r="D33" s="71">
        <f>D15/D26</f>
        <v>10.329187396351577</v>
      </c>
      <c r="E33" s="32">
        <f>E15/E26</f>
        <v>10.747698170731709</v>
      </c>
      <c r="F33" s="71">
        <f>F15/F26</f>
        <v>10.615278940027892</v>
      </c>
      <c r="H33" s="32">
        <f>H15/H26</f>
        <v>13.377302716688227</v>
      </c>
      <c r="I33" s="71">
        <f>I15/I26</f>
        <v>11.687739336492886</v>
      </c>
      <c r="J33" s="32">
        <f>J15/J26</f>
        <v>12.661387486278814</v>
      </c>
      <c r="K33" s="71">
        <f>K15/K26</f>
        <v>13.758869098712447</v>
      </c>
      <c r="M33" s="32">
        <f>M15/M26</f>
        <v>11.200767025089608</v>
      </c>
      <c r="N33" s="71">
        <f>N15/N26</f>
        <v>12.669800664451829</v>
      </c>
      <c r="O33" s="32">
        <f>O15/O26</f>
        <v>12.933621794871792</v>
      </c>
      <c r="P33" s="71">
        <f>P15/P26</f>
        <v>9.3019840695148446</v>
      </c>
      <c r="R33" s="33">
        <f>R15/R26</f>
        <v>7.1619107391910752</v>
      </c>
      <c r="S33" s="71">
        <f>S15/S26</f>
        <v>7.968663101604279</v>
      </c>
      <c r="T33" s="33">
        <f>T15/T26</f>
        <v>5.6779016393442623</v>
      </c>
      <c r="U33" s="71">
        <f>U15/U26</f>
        <v>3.6119097744360906</v>
      </c>
      <c r="W33" s="33">
        <f>W15/W26</f>
        <v>3.9489117395029996</v>
      </c>
      <c r="X33" s="71">
        <f>X15/X26</f>
        <v>6.7661561264822128</v>
      </c>
      <c r="Y33" s="33">
        <f>Y15/Y26</f>
        <v>10.601828073993472</v>
      </c>
      <c r="Z33" s="71">
        <f>Z15/Z26</f>
        <v>9.9640165631469966</v>
      </c>
      <c r="AB33" s="33">
        <f>AB15/AB26</f>
        <v>10.102110266159695</v>
      </c>
      <c r="AC33" s="71">
        <f>AC15/AC26</f>
        <v>9.9671965150048401</v>
      </c>
      <c r="AD33" s="33">
        <f>AD15/AD26</f>
        <v>10.134105769230768</v>
      </c>
      <c r="AE33" s="71">
        <f>AE15/AE26</f>
        <v>11.184053212851405</v>
      </c>
      <c r="AG33" s="33">
        <f>AG15/AG26</f>
        <v>12.334462587398374</v>
      </c>
      <c r="AH33" s="71">
        <f>AH15/AH26</f>
        <v>13.882576080697925</v>
      </c>
      <c r="AI33" s="33">
        <f>AI15/AI26</f>
        <v>10.048824298633019</v>
      </c>
      <c r="AJ33" s="71">
        <f>AJ15/AJ26</f>
        <v>8.6523341198067616</v>
      </c>
      <c r="AL33" s="33">
        <f>AL15/AL26</f>
        <v>10.178461438223938</v>
      </c>
      <c r="AM33" s="71">
        <f>AM15/AM26</f>
        <v>6.813292452830189</v>
      </c>
      <c r="AN33" s="33">
        <f>AN15/AN26</f>
        <v>7.5753973973973983</v>
      </c>
      <c r="AO33" s="71">
        <f>AO15/AO26</f>
        <v>6.5761592233009702</v>
      </c>
      <c r="AQ33" s="33">
        <f>AQ15/AQ26</f>
        <v>7.7730146914789424</v>
      </c>
      <c r="AR33" s="71">
        <f>AR15/AR26</f>
        <v>7.365494339622642</v>
      </c>
      <c r="AS33" s="33">
        <f>AS15/AS26</f>
        <v>8.7530338983050875</v>
      </c>
      <c r="AT33" s="71">
        <f>AT15/AT26</f>
        <v>7.8874921223354955</v>
      </c>
      <c r="AV33" s="33">
        <f>AV15/AV26</f>
        <v>8.5473429342934306</v>
      </c>
      <c r="AW33" s="71">
        <f>AW15/AW26</f>
        <v>9.4606557093425643</v>
      </c>
      <c r="AX33" s="33">
        <f>AX15/AX26</f>
        <v>8.4359735269000833</v>
      </c>
      <c r="AY33" s="71">
        <f>AY15/AY26</f>
        <v>7.2608365384615388</v>
      </c>
      <c r="BA33" s="33">
        <f>BA15/BA26</f>
        <v>9.4346674491392797</v>
      </c>
      <c r="BB33" s="71">
        <f>BB15/BB26</f>
        <v>7.6394403997144904</v>
      </c>
      <c r="BC33" s="33">
        <f>BC15/BC26</f>
        <v>6.9880688665710178</v>
      </c>
      <c r="BD33" s="71">
        <f>BD15/BD26</f>
        <v>7.2574458679706622</v>
      </c>
      <c r="BF33" s="33">
        <f>BF15/BF26</f>
        <v>8.0506316467508601</v>
      </c>
      <c r="BG33" s="71">
        <f>BG15/BG26</f>
        <v>7.6546540488138302</v>
      </c>
      <c r="BH33" s="33">
        <f>BH15/BH26</f>
        <v>8.6041834316279893</v>
      </c>
      <c r="BI33" s="71">
        <f>BI15/BI26</f>
        <v>9.3257571317661565</v>
      </c>
      <c r="BK33" s="33">
        <f>BK15/BK26</f>
        <v>12.40485694985431</v>
      </c>
      <c r="BL33" s="71">
        <f>BL15/BL26</f>
        <v>11.72640744480886</v>
      </c>
      <c r="BM33" s="33">
        <f>BM15/BM26</f>
        <v>10.949546089576771</v>
      </c>
      <c r="BN33" s="71">
        <f>BN15/BN26</f>
        <v>9.5706716747465617</v>
      </c>
      <c r="BP33" s="33">
        <f>BP15/BP26</f>
        <v>8.1617568745504681</v>
      </c>
      <c r="BQ33" s="71">
        <f>BQ15/BQ26</f>
        <v>8.0452568751966744</v>
      </c>
      <c r="BR33" s="33">
        <f>BR15/BR26</f>
        <v>9.4800652033724226</v>
      </c>
      <c r="BS33" s="71">
        <f>BS15/BS26</f>
        <v>10.303288472612588</v>
      </c>
      <c r="BU33" s="33">
        <f>BU15/BU26</f>
        <v>19.420437420629316</v>
      </c>
      <c r="BV33" s="71">
        <f>BV15/BV26</f>
        <v>34.667560321715804</v>
      </c>
      <c r="BW33" s="33">
        <f>BW15/BW26</f>
        <v>175.68101302183032</v>
      </c>
      <c r="BX33" s="71">
        <f>BX15/BX26</f>
        <v>65.093975818049458</v>
      </c>
    </row>
    <row r="34" spans="1:76" x14ac:dyDescent="0.2"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  <c r="BP34" s="3"/>
      <c r="BQ34" s="54"/>
      <c r="BR34" s="3"/>
      <c r="BS34" s="54"/>
      <c r="BU34" s="3"/>
      <c r="BV34" s="54"/>
      <c r="BW34" s="3"/>
      <c r="BX34" s="54"/>
    </row>
    <row r="35" spans="1:76" x14ac:dyDescent="0.2">
      <c r="A35" s="5" t="s">
        <v>48</v>
      </c>
      <c r="D35" s="54"/>
      <c r="F35" s="54"/>
      <c r="I35" s="54"/>
      <c r="K35" s="54"/>
      <c r="N35" s="54"/>
      <c r="P35" s="54"/>
      <c r="R35" s="3"/>
      <c r="S35" s="54"/>
      <c r="T35" s="3"/>
      <c r="U35" s="54"/>
      <c r="W35" s="3"/>
      <c r="X35" s="54"/>
      <c r="Y35" s="3"/>
      <c r="Z35" s="54"/>
      <c r="AB35" s="3"/>
      <c r="AC35" s="54"/>
      <c r="AD35" s="3"/>
      <c r="AE35" s="54"/>
      <c r="AG35" s="3"/>
      <c r="AH35" s="54"/>
      <c r="AI35" s="3"/>
      <c r="AJ35" s="54"/>
      <c r="AL35" s="3"/>
      <c r="AM35" s="54"/>
      <c r="AN35" s="3"/>
      <c r="AO35" s="54"/>
      <c r="AQ35" s="3"/>
      <c r="AR35" s="54"/>
      <c r="AS35" s="3"/>
      <c r="AT35" s="54"/>
      <c r="AV35" s="3"/>
      <c r="AW35" s="54"/>
      <c r="AX35" s="3"/>
      <c r="AY35" s="54"/>
      <c r="BA35" s="3"/>
      <c r="BB35" s="54"/>
      <c r="BC35" s="3"/>
      <c r="BD35" s="54"/>
      <c r="BF35" s="3"/>
      <c r="BG35" s="54"/>
      <c r="BH35" s="3"/>
      <c r="BI35" s="54"/>
      <c r="BK35" s="3"/>
      <c r="BL35" s="54"/>
      <c r="BM35" s="3"/>
      <c r="BN35" s="54"/>
      <c r="BP35" s="3"/>
      <c r="BQ35" s="54"/>
      <c r="BR35" s="3"/>
      <c r="BS35" s="54"/>
      <c r="BU35" s="3"/>
      <c r="BV35" s="54"/>
      <c r="BW35" s="3"/>
      <c r="BX35" s="54"/>
    </row>
    <row r="36" spans="1:76" s="164" customFormat="1" x14ac:dyDescent="0.2">
      <c r="A36" s="164" t="s">
        <v>168</v>
      </c>
      <c r="D36" s="165"/>
      <c r="F36" s="165"/>
      <c r="I36" s="165"/>
      <c r="K36" s="165"/>
      <c r="M36" s="166">
        <f>M14/M24</f>
        <v>1.8162705667276053</v>
      </c>
      <c r="N36" s="167">
        <f>N14/N24</f>
        <v>1.9392917369308604</v>
      </c>
      <c r="O36" s="166">
        <f>O14/O24</f>
        <v>1.8687196110210695</v>
      </c>
      <c r="P36" s="167">
        <f>P14/P24</f>
        <v>1.4636830520909756</v>
      </c>
      <c r="R36" s="168">
        <f>R14/R24</f>
        <v>1.5686968838526913</v>
      </c>
      <c r="S36" s="167">
        <f>S14/S24</f>
        <v>1.9139566395663958</v>
      </c>
      <c r="T36" s="168">
        <f>T14/T24</f>
        <v>1.8769128409846974</v>
      </c>
      <c r="U36" s="167">
        <f>U14/U24</f>
        <v>1.7384615384615387</v>
      </c>
      <c r="W36" s="168">
        <f>W14/W24</f>
        <v>1.9993870402802105</v>
      </c>
      <c r="X36" s="167">
        <f>X14/X24</f>
        <v>2.6536410256410261</v>
      </c>
      <c r="Y36" s="168">
        <f>Y14/Y24</f>
        <v>3.0535307517084282</v>
      </c>
      <c r="Z36" s="167">
        <f>Z14/Z24</f>
        <v>2.9144385026737969</v>
      </c>
      <c r="AB36" s="168">
        <f>AB14/AB24</f>
        <v>3.3176930596285432</v>
      </c>
      <c r="AC36" s="167">
        <f>AC14/AC24</f>
        <v>3.7487636003956482</v>
      </c>
      <c r="AD36" s="168">
        <f>AD14/AD24</f>
        <v>4.0429268292682927</v>
      </c>
      <c r="AE36" s="167">
        <f>AE14/AE24</f>
        <v>4.1675126903553297</v>
      </c>
      <c r="AG36" s="168">
        <f>AG14/AG24</f>
        <v>4.9649845520082394</v>
      </c>
      <c r="AH36" s="167">
        <f>AH14/AH24</f>
        <v>5.4405286343612325</v>
      </c>
      <c r="AI36" s="168">
        <f>AI14/AI24</f>
        <v>5.0380147835269273</v>
      </c>
      <c r="AJ36" s="167">
        <f>AJ14/AJ24</f>
        <v>4.275096525096524</v>
      </c>
      <c r="AL36" s="168">
        <f>AL14/AL24</f>
        <v>4.3017241379310347</v>
      </c>
      <c r="AM36" s="167">
        <f>AM14/AM24</f>
        <v>2.5276995305164318</v>
      </c>
      <c r="AN36" s="168">
        <f>AN14/AN24</f>
        <v>2.7510000000000003</v>
      </c>
      <c r="AO36" s="167">
        <f>AO14/AO24</f>
        <v>1.8373435996150143</v>
      </c>
      <c r="AQ36" s="168">
        <f>AQ14/AQ24</f>
        <v>2.7056530214424956</v>
      </c>
      <c r="AR36" s="167">
        <f>AR14/AR24</f>
        <v>2.6582397003745317</v>
      </c>
      <c r="AS36" s="168">
        <f>AS14/AS24</f>
        <v>2.5657036346691524</v>
      </c>
      <c r="AT36" s="167">
        <f>AT14/AT24</f>
        <v>1.9456221198156685</v>
      </c>
      <c r="AV36" s="168">
        <f>AV14/AV24</f>
        <v>1.7816399286987525</v>
      </c>
      <c r="AW36" s="167">
        <f>AW14/AW24</f>
        <v>1.7221269296740997</v>
      </c>
      <c r="AX36" s="168">
        <f>AX14/AX24</f>
        <v>1.7957627118644068</v>
      </c>
      <c r="AY36" s="167">
        <f>AY14/AY24</f>
        <v>0.89440504334121362</v>
      </c>
      <c r="BA36" s="168">
        <f>BA14/BA24</f>
        <v>1.0184899845916795</v>
      </c>
      <c r="BB36" s="167">
        <f>BB14/BB24</f>
        <v>1.0162544169611307</v>
      </c>
      <c r="BC36" s="168">
        <f>BC14/BC24</f>
        <v>0.87825475017593246</v>
      </c>
      <c r="BD36" s="167">
        <f>BD14/BD24</f>
        <v>0.50732875007181299</v>
      </c>
      <c r="BF36" s="168">
        <f>BF14/BF24</f>
        <v>0.90414247569401796</v>
      </c>
      <c r="BG36" s="167">
        <f>BG14/BG24</f>
        <v>1.1115326436856057</v>
      </c>
      <c r="BH36" s="168">
        <f>BH14/BH24</f>
        <v>0.97107357578656406</v>
      </c>
      <c r="BI36" s="167">
        <f>BI14/BI24</f>
        <v>-0.35680565046609042</v>
      </c>
      <c r="BK36" s="168">
        <v>2.2000000000000002</v>
      </c>
      <c r="BL36" s="167">
        <v>2.6</v>
      </c>
      <c r="BM36" s="168">
        <v>2.6</v>
      </c>
      <c r="BN36" s="167">
        <v>1.9</v>
      </c>
      <c r="BP36" s="168">
        <v>3</v>
      </c>
      <c r="BQ36" s="167">
        <f>BQ14/BQ24</f>
        <v>3.0446096654275094</v>
      </c>
      <c r="BR36" s="168">
        <f>BR14/BR24</f>
        <v>2.5818639798488663</v>
      </c>
      <c r="BS36" s="167">
        <f>BS14/BS24</f>
        <v>3.1311475409836067</v>
      </c>
      <c r="BU36" s="168">
        <f>BU14/BU24</f>
        <v>5.8854166666666661</v>
      </c>
      <c r="BV36" s="167">
        <f>BV14/BV24</f>
        <v>8.891534391534389</v>
      </c>
      <c r="BW36" s="168">
        <f>BW14/BW24</f>
        <v>16.661904761904751</v>
      </c>
      <c r="BX36" s="167">
        <f>BX14/BX24</f>
        <v>8.154882154882154</v>
      </c>
    </row>
    <row r="37" spans="1:76" s="162" customFormat="1" x14ac:dyDescent="0.2">
      <c r="A37" s="163" t="s">
        <v>170</v>
      </c>
      <c r="R37" s="163"/>
      <c r="S37" s="163"/>
      <c r="T37" s="163"/>
      <c r="U37" s="163"/>
      <c r="W37" s="163"/>
      <c r="X37" s="163"/>
      <c r="Y37" s="163"/>
      <c r="Z37" s="163"/>
      <c r="AB37" s="163"/>
      <c r="AC37" s="163"/>
      <c r="AD37" s="163"/>
      <c r="AE37" s="163"/>
      <c r="BP37" s="163"/>
      <c r="BQ37" s="163"/>
      <c r="BR37" s="163"/>
      <c r="BS37" s="163"/>
      <c r="BU37" s="163"/>
      <c r="BV37" s="163"/>
      <c r="BW37" s="163"/>
      <c r="BX37" s="163"/>
    </row>
    <row r="38" spans="1:76" x14ac:dyDescent="0.2">
      <c r="A38" s="163" t="s">
        <v>169</v>
      </c>
      <c r="R38" s="3"/>
      <c r="S38" s="3"/>
      <c r="T38" s="3"/>
      <c r="U38" s="3"/>
      <c r="W38" s="3"/>
      <c r="X38" s="3"/>
      <c r="Y38" s="3"/>
      <c r="Z38" s="3"/>
      <c r="AB38" s="3"/>
      <c r="AC38" s="3"/>
      <c r="AD38" s="3"/>
      <c r="AE38" s="3"/>
      <c r="BP38" s="3"/>
      <c r="BQ38" s="3"/>
      <c r="BR38" s="3"/>
      <c r="BS38" s="3"/>
      <c r="BU38" s="3"/>
      <c r="BV38" s="3"/>
      <c r="BW38" s="3"/>
      <c r="BX38" s="3"/>
    </row>
    <row r="39" spans="1:76" x14ac:dyDescent="0.2">
      <c r="A39" s="163" t="s">
        <v>171</v>
      </c>
    </row>
    <row r="40" spans="1:76" x14ac:dyDescent="0.2">
      <c r="R40" s="34"/>
    </row>
    <row r="41" spans="1:76" x14ac:dyDescent="0.2">
      <c r="R41" s="34"/>
    </row>
    <row r="43" spans="1:76" x14ac:dyDescent="0.2">
      <c r="R43" s="35"/>
    </row>
    <row r="44" spans="1:76" x14ac:dyDescent="0.2">
      <c r="R44" s="35"/>
    </row>
  </sheetData>
  <mergeCells count="30">
    <mergeCell ref="BP1:BS1"/>
    <mergeCell ref="BP2:BS2"/>
    <mergeCell ref="BK1:BN1"/>
    <mergeCell ref="BK2:BN2"/>
    <mergeCell ref="BF1:BI1"/>
    <mergeCell ref="BF2:BI2"/>
    <mergeCell ref="AL1:AO1"/>
    <mergeCell ref="AL2:AO2"/>
    <mergeCell ref="AB1:AE1"/>
    <mergeCell ref="AB2:AE2"/>
    <mergeCell ref="AQ1:AT1"/>
    <mergeCell ref="AQ2:AT2"/>
    <mergeCell ref="AG1:AJ1"/>
    <mergeCell ref="AG2:AJ2"/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 2017-2020</vt:lpstr>
      <vt:lpstr>OLD Segment Data 2005-2019</vt:lpstr>
      <vt:lpstr>OLD Valuation 2005-2019</vt:lpstr>
      <vt:lpstr>' Financial Highlights'!Print_Area</vt:lpstr>
      <vt:lpstr>'Balance Sheet'!Print_Area</vt:lpstr>
      <vt:lpstr>Cashflow!Print_Area</vt:lpstr>
      <vt:lpstr>'Front Page'!Print_Area</vt:lpstr>
      <vt:lpstr>'OLD Segment Data 2005-2019'!Print_Area</vt:lpstr>
      <vt:lpstr>'OLD Valuation 2005-2019'!Print_Area</vt:lpstr>
      <vt:lpstr>'Segment Data 2017-2020'!Print_Area</vt:lpstr>
      <vt:lpstr>' Financial Highlights'!Print_Titles</vt:lpstr>
      <vt:lpstr>'Balance Sheet'!Print_Titles</vt:lpstr>
      <vt:lpstr>Cashflow!Print_Titles</vt:lpstr>
      <vt:lpstr>'OLD Segment Data 2005-2019'!Print_Titles</vt:lpstr>
      <vt:lpstr>'OLD Valuation 2005-2019'!Print_Titles</vt:lpstr>
      <vt:lpstr>'Segment Data 2017-2020'!Print_Titles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Bjergegaard, Pia Hartwig</cp:lastModifiedBy>
  <cp:lastPrinted>2019-05-14T13:27:52Z</cp:lastPrinted>
  <dcterms:created xsi:type="dcterms:W3CDTF">2003-02-28T10:07:39Z</dcterms:created>
  <dcterms:modified xsi:type="dcterms:W3CDTF">2020-05-12T13:32:32Z</dcterms:modified>
</cp:coreProperties>
</file>