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35" yWindow="315" windowWidth="12690" windowHeight="10140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Oper EBITDA Graph" sheetId="7" r:id="rId7"/>
  </sheets>
  <definedNames>
    <definedName name="_xlnm.Print_Area" localSheetId="1">' Financial Highlights'!$BE$2:$BU$46</definedName>
    <definedName name="_xlnm.Print_Area" localSheetId="2">'Balance Sheet'!$AV$4:$BI$41</definedName>
    <definedName name="_xlnm.Print_Area" localSheetId="3">Cashflow!$BE$5:$BU$31</definedName>
    <definedName name="_xlnm.Print_Area" localSheetId="0">'Front Page'!$A$1:$M$25</definedName>
    <definedName name="_xlnm.Print_Area" localSheetId="6">'Oper EBITDA Graph'!$AQ$16:$BE$41</definedName>
    <definedName name="_xlnm.Print_Area" localSheetId="4">'Segment Data'!$BE$4:$BU$85</definedName>
    <definedName name="_xlnm.Print_Area" localSheetId="5">Valuation!$AV$4:$BI$36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6">'Oper EBITDA Graph'!$A:$A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G39" i="2"/>
  <c r="BF14" i="7"/>
  <c r="BF7" s="1"/>
  <c r="BF13"/>
  <c r="BF11"/>
  <c r="BF6"/>
  <c r="BF5"/>
  <c r="BF39" i="2"/>
  <c r="BG36" l="1"/>
  <c r="BR40" i="1"/>
  <c r="BR36"/>
  <c r="BQ36"/>
  <c r="BR18" i="3" l="1"/>
  <c r="BR24" i="1" l="1"/>
  <c r="BR21"/>
  <c r="BR19"/>
  <c r="BR16"/>
  <c r="BR14"/>
  <c r="BR11"/>
  <c r="BR6" i="3"/>
  <c r="BR11" s="1"/>
  <c r="BR7"/>
  <c r="BG23" i="2"/>
  <c r="BG28" s="1"/>
  <c r="BG16"/>
  <c r="BG9"/>
  <c r="BG35" i="6"/>
  <c r="BG32"/>
  <c r="BG31"/>
  <c r="BG26"/>
  <c r="BG25" s="1"/>
  <c r="BG27" s="1"/>
  <c r="BG23"/>
  <c r="BG16"/>
  <c r="BG14"/>
  <c r="BG11"/>
  <c r="BG18" i="2" l="1"/>
  <c r="BR35" i="1"/>
  <c r="BR20" i="3"/>
  <c r="BR25" s="1"/>
  <c r="BG7" i="6"/>
  <c r="BG79" i="4"/>
  <c r="BR81"/>
  <c r="BR80"/>
  <c r="BR79"/>
  <c r="BR78"/>
  <c r="BR31" i="1" s="1"/>
  <c r="BR68" i="4"/>
  <c r="BR39"/>
  <c r="BR40"/>
  <c r="BR41"/>
  <c r="BR42"/>
  <c r="BR38"/>
  <c r="BR27"/>
  <c r="BU26"/>
  <c r="BR25" l="1"/>
  <c r="BR24"/>
  <c r="BR16"/>
  <c r="BR13"/>
  <c r="BE14" i="7" l="1"/>
  <c r="BE13"/>
  <c r="BE11"/>
  <c r="BE5"/>
  <c r="BF26" i="6"/>
  <c r="BD26"/>
  <c r="BF16"/>
  <c r="BQ24" i="3"/>
  <c r="BU24"/>
  <c r="BQ10"/>
  <c r="BQ7"/>
  <c r="BQ45" i="1"/>
  <c r="BQ31"/>
  <c r="BK31"/>
  <c r="BH31"/>
  <c r="BG31"/>
  <c r="BF31"/>
  <c r="BE31"/>
  <c r="BA31"/>
  <c r="AZ31"/>
  <c r="AY31"/>
  <c r="BQ29"/>
  <c r="BQ40" s="1"/>
  <c r="BQ24"/>
  <c r="BQ7"/>
  <c r="BQ6" i="3" s="1"/>
  <c r="BQ5" i="1"/>
  <c r="BQ80" i="4"/>
  <c r="BQ79"/>
  <c r="BE7" i="7" l="1"/>
  <c r="BE6"/>
  <c r="BU44" i="1"/>
  <c r="BU43"/>
  <c r="BU24"/>
  <c r="BU20"/>
  <c r="BU18"/>
  <c r="BU17"/>
  <c r="BU15"/>
  <c r="BU13"/>
  <c r="BU12"/>
  <c r="BQ11"/>
  <c r="BQ14" s="1"/>
  <c r="BQ16" s="1"/>
  <c r="BQ19" s="1"/>
  <c r="BF36" i="2" s="1"/>
  <c r="BU10" i="1"/>
  <c r="BU9"/>
  <c r="BU8"/>
  <c r="BU7"/>
  <c r="BU5"/>
  <c r="BF23" i="2"/>
  <c r="BF28" s="1"/>
  <c r="BF16"/>
  <c r="BF9"/>
  <c r="BU30" i="3"/>
  <c r="BU27"/>
  <c r="BU23"/>
  <c r="BU22"/>
  <c r="BQ18"/>
  <c r="BU17"/>
  <c r="BU16"/>
  <c r="BU15"/>
  <c r="BU14"/>
  <c r="BU13"/>
  <c r="BQ1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7"/>
  <c r="BQ26"/>
  <c r="BQ24"/>
  <c r="BU23"/>
  <c r="BU22"/>
  <c r="BU21"/>
  <c r="BU20"/>
  <c r="BU19"/>
  <c r="BU15"/>
  <c r="BQ13"/>
  <c r="BQ16" s="1"/>
  <c r="BU12"/>
  <c r="BU11"/>
  <c r="BU10"/>
  <c r="BU9"/>
  <c r="BU8"/>
  <c r="BU7"/>
  <c r="BU6"/>
  <c r="BF23" i="6"/>
  <c r="BF7"/>
  <c r="BF11" s="1"/>
  <c r="BF14" s="1"/>
  <c r="BH79" i="4"/>
  <c r="AP79"/>
  <c r="BC14" i="7"/>
  <c r="BC13"/>
  <c r="BC11"/>
  <c r="BC5" s="1"/>
  <c r="BN18" i="3"/>
  <c r="BN11"/>
  <c r="BN20" s="1"/>
  <c r="BN25" s="1"/>
  <c r="BN6"/>
  <c r="BD36" i="2"/>
  <c r="BD28"/>
  <c r="BD23"/>
  <c r="BD18"/>
  <c r="BD16"/>
  <c r="BD12"/>
  <c r="BD9"/>
  <c r="BN21" i="1"/>
  <c r="BN19"/>
  <c r="BN16"/>
  <c r="BN14"/>
  <c r="BN11"/>
  <c r="BN24"/>
  <c r="BN5"/>
  <c r="BD35" i="6"/>
  <c r="BD25"/>
  <c r="BD27" s="1"/>
  <c r="BD31" s="1"/>
  <c r="AY26"/>
  <c r="AX26"/>
  <c r="AW26"/>
  <c r="AV26"/>
  <c r="AT26"/>
  <c r="AS26"/>
  <c r="AR26"/>
  <c r="AQ26"/>
  <c r="AO26"/>
  <c r="AN26"/>
  <c r="AM26"/>
  <c r="AL26"/>
  <c r="BD23"/>
  <c r="BC23"/>
  <c r="BD16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L15" i="4"/>
  <c r="K15"/>
  <c r="J15"/>
  <c r="I15"/>
  <c r="BL10" i="3"/>
  <c r="BH6"/>
  <c r="AI10"/>
  <c r="W14"/>
  <c r="BQ20" l="1"/>
  <c r="BQ25" s="1"/>
  <c r="BQ35" i="1"/>
  <c r="BU35" s="1"/>
  <c r="BU18" i="3"/>
  <c r="BU36" i="1"/>
  <c r="BU40" i="4"/>
  <c r="BD32" i="6"/>
  <c r="BF18" i="2"/>
  <c r="BU68" i="4"/>
  <c r="BU27"/>
  <c r="BQ39"/>
  <c r="BU41"/>
  <c r="BU42"/>
  <c r="BU11" i="1"/>
  <c r="BU14" s="1"/>
  <c r="BU16" s="1"/>
  <c r="BU19" s="1"/>
  <c r="BU21" s="1"/>
  <c r="BQ21"/>
  <c r="BU6" i="3"/>
  <c r="BU10"/>
  <c r="BQ25" i="4"/>
  <c r="BU13"/>
  <c r="BU24"/>
  <c r="BU38"/>
  <c r="BF35" i="6"/>
  <c r="BF25"/>
  <c r="BF27" s="1"/>
  <c r="BF31" s="1"/>
  <c r="BC6" i="7"/>
  <c r="BC7"/>
  <c r="BU39" i="4" l="1"/>
  <c r="BU11" i="3"/>
  <c r="BU20" s="1"/>
  <c r="BU25" s="1"/>
  <c r="BU16" i="4"/>
  <c r="BU25" s="1"/>
  <c r="BF32" i="6"/>
  <c r="BB38" i="2"/>
  <c r="AX24"/>
  <c r="AT24"/>
  <c r="AS24"/>
  <c r="AL39"/>
  <c r="AJ36" l="1"/>
  <c r="AI36"/>
  <c r="AH36"/>
  <c r="AG36"/>
  <c r="AB38"/>
  <c r="AB24"/>
  <c r="X27"/>
  <c r="X24"/>
  <c r="U27"/>
  <c r="U24"/>
  <c r="T24"/>
  <c r="P27"/>
  <c r="BO24" i="1"/>
  <c r="BH28"/>
  <c r="BG28"/>
  <c r="BF28"/>
  <c r="BE28"/>
  <c r="BI24"/>
  <c r="BA28"/>
  <c r="AW24"/>
  <c r="AP45"/>
  <c r="AO45"/>
  <c r="AN45"/>
  <c r="AM45"/>
  <c r="AP30"/>
  <c r="AQ24"/>
  <c r="AK24"/>
  <c r="AH36"/>
  <c r="AE24"/>
  <c r="BH9"/>
  <c r="F15" i="4"/>
  <c r="E15"/>
  <c r="D15"/>
  <c r="C15"/>
  <c r="C13" i="3"/>
  <c r="D24" i="2"/>
  <c r="C24"/>
  <c r="C21"/>
  <c r="BM18" i="3" l="1"/>
  <c r="BM11"/>
  <c r="BM20" s="1"/>
  <c r="BM25" s="1"/>
  <c r="BC23" i="2"/>
  <c r="BC28" s="1"/>
  <c r="BC16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6" i="1"/>
  <c r="BL41"/>
  <c r="BB23" i="2"/>
  <c r="BB28" s="1"/>
  <c r="BB16"/>
  <c r="BB9"/>
  <c r="BL18" i="3"/>
  <c r="BL11"/>
  <c r="BL20" s="1"/>
  <c r="BL25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6" i="1"/>
  <c r="BO44"/>
  <c r="BO43"/>
  <c r="BK41"/>
  <c r="BO20"/>
  <c r="BO18"/>
  <c r="BO17"/>
  <c r="BO15"/>
  <c r="BO13"/>
  <c r="BO12"/>
  <c r="BO10"/>
  <c r="BO9"/>
  <c r="BO8"/>
  <c r="BA23" i="2"/>
  <c r="BA28" s="1"/>
  <c r="BA16"/>
  <c r="BA9"/>
  <c r="BO30" i="3"/>
  <c r="BO27"/>
  <c r="BO24"/>
  <c r="BO23"/>
  <c r="BO22"/>
  <c r="BK18"/>
  <c r="BO17"/>
  <c r="BO16"/>
  <c r="BO15"/>
  <c r="BO14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8" i="2"/>
  <c r="BC18"/>
  <c r="BC36"/>
  <c r="BM21" i="1"/>
  <c r="BL11"/>
  <c r="BL14" s="1"/>
  <c r="BL16" s="1"/>
  <c r="BL19" s="1"/>
  <c r="BB36" i="2" s="1"/>
  <c r="BM16" i="4"/>
  <c r="BO16" s="1"/>
  <c r="BM39"/>
  <c r="BC35" i="6"/>
  <c r="BB14"/>
  <c r="BC14"/>
  <c r="BO36" i="1"/>
  <c r="BL21"/>
  <c r="BA18" i="2"/>
  <c r="BK29" i="1" s="1"/>
  <c r="BK20" i="3"/>
  <c r="BK25" s="1"/>
  <c r="BO35" i="1"/>
  <c r="BO18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3" i="2"/>
  <c r="AY28" s="1"/>
  <c r="BH29" i="1" s="1"/>
  <c r="AY16" i="2"/>
  <c r="AY9"/>
  <c r="BH18" i="3"/>
  <c r="BH11"/>
  <c r="BH78" i="4"/>
  <c r="BH68"/>
  <c r="BH42"/>
  <c r="BH41"/>
  <c r="BH40"/>
  <c r="BH38"/>
  <c r="BH11" i="1" s="1"/>
  <c r="BH14" s="1"/>
  <c r="BH16" s="1"/>
  <c r="BH19" s="1"/>
  <c r="BH13" i="4"/>
  <c r="BB13" i="7" s="1"/>
  <c r="AX23" i="2"/>
  <c r="AX28" s="1"/>
  <c r="BG29" i="1" s="1"/>
  <c r="AX16" i="2"/>
  <c r="AX9"/>
  <c r="BG18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3" i="2"/>
  <c r="AW28" s="1"/>
  <c r="BF29" i="1" s="1"/>
  <c r="AW16" i="2"/>
  <c r="AW9"/>
  <c r="BF46" i="1"/>
  <c r="BF18" i="3"/>
  <c r="BF11"/>
  <c r="BF78" i="4"/>
  <c r="BF68"/>
  <c r="BF42"/>
  <c r="BF41"/>
  <c r="BF40"/>
  <c r="BF38"/>
  <c r="BF13"/>
  <c r="BF16" s="1"/>
  <c r="BF25" s="1"/>
  <c r="BE46" i="1"/>
  <c r="BI44"/>
  <c r="BI43"/>
  <c r="BH41"/>
  <c r="BG41"/>
  <c r="BF41"/>
  <c r="BE41"/>
  <c r="BI20"/>
  <c r="BI18"/>
  <c r="BI17"/>
  <c r="BI15"/>
  <c r="BI13"/>
  <c r="BI12"/>
  <c r="BI10"/>
  <c r="BI8"/>
  <c r="AV23" i="2"/>
  <c r="AV28" s="1"/>
  <c r="BE29" i="1" s="1"/>
  <c r="AV16" i="2"/>
  <c r="AV9"/>
  <c r="BI30" i="3"/>
  <c r="BI27"/>
  <c r="BI24"/>
  <c r="BI23"/>
  <c r="BI22"/>
  <c r="BE18"/>
  <c r="BI17"/>
  <c r="BI16"/>
  <c r="BI15"/>
  <c r="BI14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3" i="2"/>
  <c r="AT16"/>
  <c r="AT9"/>
  <c r="BB78" i="4"/>
  <c r="BB13"/>
  <c r="BB16" s="1"/>
  <c r="BB40"/>
  <c r="BB42"/>
  <c r="BB46" i="1"/>
  <c r="BB41"/>
  <c r="BC15"/>
  <c r="BB18" i="3"/>
  <c r="BB11"/>
  <c r="BC6"/>
  <c r="BA80" i="4"/>
  <c r="BA46" i="1"/>
  <c r="BA41"/>
  <c r="AS23" i="2"/>
  <c r="AS16"/>
  <c r="AS9"/>
  <c r="BA18" i="3"/>
  <c r="BA11"/>
  <c r="BA78" i="4"/>
  <c r="BA68"/>
  <c r="BA42"/>
  <c r="BA41"/>
  <c r="BA40"/>
  <c r="BA38"/>
  <c r="BA11" i="1" s="1"/>
  <c r="BA14" s="1"/>
  <c r="BA16" s="1"/>
  <c r="BA19" s="1"/>
  <c r="BA21" s="1"/>
  <c r="BA13" i="4"/>
  <c r="AZ46" i="1"/>
  <c r="AZ41"/>
  <c r="AR23" i="2"/>
  <c r="AR28" s="1"/>
  <c r="AR16"/>
  <c r="AR9"/>
  <c r="AZ18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6" i="1"/>
  <c r="BC44"/>
  <c r="BC43"/>
  <c r="AY41"/>
  <c r="BC20"/>
  <c r="BC18"/>
  <c r="BC17"/>
  <c r="BC13"/>
  <c r="BC12"/>
  <c r="BC10"/>
  <c r="BC8"/>
  <c r="AQ23" i="2"/>
  <c r="AQ28" s="1"/>
  <c r="AQ16"/>
  <c r="AQ9"/>
  <c r="BC30" i="3"/>
  <c r="BC27"/>
  <c r="BC24"/>
  <c r="BC23"/>
  <c r="BC22"/>
  <c r="AY18"/>
  <c r="BC17"/>
  <c r="BC16"/>
  <c r="BC15"/>
  <c r="BC14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3" i="2"/>
  <c r="AO28" s="1"/>
  <c r="AW37" i="4"/>
  <c r="AW31"/>
  <c r="AM12" i="7"/>
  <c r="AN23" i="2"/>
  <c r="AN28" s="1"/>
  <c r="AU80" i="4"/>
  <c r="AU40"/>
  <c r="AU41"/>
  <c r="AU42"/>
  <c r="AL12" i="7"/>
  <c r="AK12"/>
  <c r="AH12"/>
  <c r="AG12"/>
  <c r="AF12"/>
  <c r="AC12"/>
  <c r="AB12"/>
  <c r="AA12"/>
  <c r="X12"/>
  <c r="W12"/>
  <c r="V12"/>
  <c r="S12"/>
  <c r="R12"/>
  <c r="Q12"/>
  <c r="AM23" i="2"/>
  <c r="AM28" s="1"/>
  <c r="AW27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N12" i="7" s="1"/>
  <c r="AW33" i="4"/>
  <c r="AW32"/>
  <c r="AW15"/>
  <c r="AW26" s="1"/>
  <c r="AV13"/>
  <c r="AU13"/>
  <c r="AT13"/>
  <c r="AS13"/>
  <c r="AW12"/>
  <c r="AW11"/>
  <c r="AW10"/>
  <c r="AW28" s="1"/>
  <c r="AW9"/>
  <c r="AW8"/>
  <c r="AW7"/>
  <c r="AW6"/>
  <c r="AW30" i="3"/>
  <c r="AW24"/>
  <c r="AW23"/>
  <c r="AW22"/>
  <c r="AV18"/>
  <c r="AU18"/>
  <c r="AT18"/>
  <c r="AS18"/>
  <c r="AW17"/>
  <c r="AW16"/>
  <c r="AW15"/>
  <c r="AW14"/>
  <c r="AW13"/>
  <c r="AW10"/>
  <c r="AW7"/>
  <c r="AL23" i="2"/>
  <c r="AL28" s="1"/>
  <c r="AO16"/>
  <c r="AN16"/>
  <c r="AM16"/>
  <c r="AL16"/>
  <c r="AO9"/>
  <c r="AO18" s="1"/>
  <c r="AN9"/>
  <c r="AM9"/>
  <c r="AL9"/>
  <c r="AS46" i="1"/>
  <c r="AW44"/>
  <c r="AW43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6"/>
  <c r="AP42" i="4"/>
  <c r="AP40"/>
  <c r="AP41"/>
  <c r="AP7" i="3"/>
  <c r="AO41" i="1"/>
  <c r="AN41"/>
  <c r="AM41"/>
  <c r="AO7" i="3"/>
  <c r="AN7"/>
  <c r="AM7"/>
  <c r="AM46" i="1"/>
  <c r="AN46"/>
  <c r="AO46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I12" i="7" s="1"/>
  <c r="AQ33" i="4"/>
  <c r="AQ32"/>
  <c r="AQ31"/>
  <c r="AQ15"/>
  <c r="AQ26" s="1"/>
  <c r="AP13"/>
  <c r="AL13" i="7" s="1"/>
  <c r="AO13" i="4"/>
  <c r="AN13"/>
  <c r="AN16" s="1"/>
  <c r="AM13"/>
  <c r="AQ12"/>
  <c r="AQ11"/>
  <c r="AQ10"/>
  <c r="AQ28" s="1"/>
  <c r="AQ9"/>
  <c r="AQ8"/>
  <c r="AQ7"/>
  <c r="AQ6"/>
  <c r="AQ30" i="3"/>
  <c r="AQ24"/>
  <c r="AQ23"/>
  <c r="AQ22"/>
  <c r="AP18"/>
  <c r="AO18"/>
  <c r="AN18"/>
  <c r="AM18"/>
  <c r="AQ17"/>
  <c r="AQ16"/>
  <c r="AQ15"/>
  <c r="AQ14"/>
  <c r="AQ13"/>
  <c r="AQ10"/>
  <c r="AJ23" i="2"/>
  <c r="AJ28" s="1"/>
  <c r="AI23"/>
  <c r="AI28" s="1"/>
  <c r="AH23"/>
  <c r="AG23"/>
  <c r="AG28" s="1"/>
  <c r="AJ16"/>
  <c r="AI16"/>
  <c r="AH16"/>
  <c r="AH18" s="1"/>
  <c r="AG16"/>
  <c r="AJ9"/>
  <c r="AJ18" s="1"/>
  <c r="AI9"/>
  <c r="AI18" s="1"/>
  <c r="AG9"/>
  <c r="AG18" s="1"/>
  <c r="AQ44" i="1"/>
  <c r="AQ43"/>
  <c r="AQ20"/>
  <c r="AQ18"/>
  <c r="AQ17"/>
  <c r="AQ15"/>
  <c r="AQ13"/>
  <c r="AQ12"/>
  <c r="AQ10"/>
  <c r="AQ9"/>
  <c r="AQ8"/>
  <c r="AJ42" i="4"/>
  <c r="AJ41"/>
  <c r="AJ40"/>
  <c r="AK23" i="3"/>
  <c r="AK10"/>
  <c r="AI80" i="4"/>
  <c r="AI42"/>
  <c r="AI41"/>
  <c r="AI40"/>
  <c r="AK36" i="1"/>
  <c r="AH80" i="4"/>
  <c r="AG80"/>
  <c r="AH45" i="1"/>
  <c r="AH42" i="4"/>
  <c r="AH41"/>
  <c r="AH40"/>
  <c r="AK30" i="3"/>
  <c r="AK24"/>
  <c r="AK22"/>
  <c r="AJ18"/>
  <c r="AI18"/>
  <c r="AH18"/>
  <c r="AG18"/>
  <c r="AK17"/>
  <c r="AK16"/>
  <c r="AK15"/>
  <c r="AK14"/>
  <c r="AK13"/>
  <c r="AK18" s="1"/>
  <c r="AJ11"/>
  <c r="AH11"/>
  <c r="AH20" s="1"/>
  <c r="AH25" s="1"/>
  <c r="AG11"/>
  <c r="AG20" s="1"/>
  <c r="AG25" s="1"/>
  <c r="AK7"/>
  <c r="AK6"/>
  <c r="AE23" i="2"/>
  <c r="AE28" s="1"/>
  <c r="AD23"/>
  <c r="AD28"/>
  <c r="AC23"/>
  <c r="AC28" s="1"/>
  <c r="AB23"/>
  <c r="AB28" s="1"/>
  <c r="AE16"/>
  <c r="AD16"/>
  <c r="AC16"/>
  <c r="AB16"/>
  <c r="AE9"/>
  <c r="AD9"/>
  <c r="AC9"/>
  <c r="AB9"/>
  <c r="AK44" i="1"/>
  <c r="AK43"/>
  <c r="AE43"/>
  <c r="AE7" i="6"/>
  <c r="AJ45" i="1" s="1"/>
  <c r="AD7" i="6"/>
  <c r="AI45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D12" i="7" s="1"/>
  <c r="AK33" i="4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H11" s="1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K13" i="4"/>
  <c r="L13"/>
  <c r="O13"/>
  <c r="P13"/>
  <c r="Q13"/>
  <c r="R13"/>
  <c r="U13"/>
  <c r="Q13" i="7" s="1"/>
  <c r="V13" i="4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T12" i="7" s="1"/>
  <c r="AE34" i="4"/>
  <c r="Y12" i="7" s="1"/>
  <c r="G35" i="4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4"/>
  <c r="M14"/>
  <c r="S14"/>
  <c r="Y14"/>
  <c r="AE14"/>
  <c r="G15"/>
  <c r="M15"/>
  <c r="S15"/>
  <c r="Y15"/>
  <c r="AE15"/>
  <c r="S16"/>
  <c r="Y16"/>
  <c r="AE16"/>
  <c r="G17"/>
  <c r="M17"/>
  <c r="S17"/>
  <c r="Y17"/>
  <c r="AE17"/>
  <c r="D18"/>
  <c r="E18"/>
  <c r="F18"/>
  <c r="I18"/>
  <c r="J18"/>
  <c r="K18"/>
  <c r="L18"/>
  <c r="O18"/>
  <c r="P18"/>
  <c r="Q18"/>
  <c r="R18"/>
  <c r="U18"/>
  <c r="V18"/>
  <c r="V20" s="1"/>
  <c r="V25" s="1"/>
  <c r="X18"/>
  <c r="X20" s="1"/>
  <c r="X25" s="1"/>
  <c r="AA18"/>
  <c r="AA20" s="1"/>
  <c r="AA25" s="1"/>
  <c r="AB18"/>
  <c r="AC18"/>
  <c r="AD18"/>
  <c r="G22"/>
  <c r="M22"/>
  <c r="S22"/>
  <c r="Y22"/>
  <c r="AE22"/>
  <c r="G24"/>
  <c r="M24"/>
  <c r="S24"/>
  <c r="Y24"/>
  <c r="AE24"/>
  <c r="G30"/>
  <c r="M30"/>
  <c r="S30"/>
  <c r="Y30"/>
  <c r="AE30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6"/>
  <c r="C18" s="1"/>
  <c r="D16"/>
  <c r="E16"/>
  <c r="E18" s="1"/>
  <c r="F16"/>
  <c r="H16"/>
  <c r="H18" s="1"/>
  <c r="I16"/>
  <c r="I18" s="1"/>
  <c r="J16"/>
  <c r="J18" s="1"/>
  <c r="K16"/>
  <c r="K18" s="1"/>
  <c r="M16"/>
  <c r="M18" s="1"/>
  <c r="N16"/>
  <c r="N18" s="1"/>
  <c r="O16"/>
  <c r="O18" s="1"/>
  <c r="P16"/>
  <c r="P18" s="1"/>
  <c r="R16"/>
  <c r="R18" s="1"/>
  <c r="S16"/>
  <c r="S18" s="1"/>
  <c r="T16"/>
  <c r="T18" s="1"/>
  <c r="U16"/>
  <c r="U18" s="1"/>
  <c r="W16"/>
  <c r="W18" s="1"/>
  <c r="X16"/>
  <c r="Y16"/>
  <c r="Y18" s="1"/>
  <c r="Z16"/>
  <c r="D18"/>
  <c r="F18"/>
  <c r="Z18"/>
  <c r="C23"/>
  <c r="C28" s="1"/>
  <c r="D23"/>
  <c r="E23"/>
  <c r="E28" s="1"/>
  <c r="F23"/>
  <c r="F28" s="1"/>
  <c r="H23"/>
  <c r="H28" s="1"/>
  <c r="I23"/>
  <c r="I28" s="1"/>
  <c r="J23"/>
  <c r="J28" s="1"/>
  <c r="K23"/>
  <c r="K28" s="1"/>
  <c r="M23"/>
  <c r="M28" s="1"/>
  <c r="N23"/>
  <c r="N28" s="1"/>
  <c r="O23"/>
  <c r="O28" s="1"/>
  <c r="P23"/>
  <c r="R23"/>
  <c r="R28" s="1"/>
  <c r="S23"/>
  <c r="S28" s="1"/>
  <c r="T23"/>
  <c r="U23"/>
  <c r="W23"/>
  <c r="W28" s="1"/>
  <c r="X23"/>
  <c r="Y23"/>
  <c r="Y28" s="1"/>
  <c r="Z23"/>
  <c r="Z28" s="1"/>
  <c r="D28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3"/>
  <c r="M43"/>
  <c r="S43"/>
  <c r="Y43"/>
  <c r="G44"/>
  <c r="M44"/>
  <c r="S44"/>
  <c r="Y44"/>
  <c r="AE44"/>
  <c r="X18" i="2"/>
  <c r="AD41" i="4"/>
  <c r="E23" i="6"/>
  <c r="L13" i="7"/>
  <c r="I13"/>
  <c r="AD11" i="3"/>
  <c r="AE35" i="1"/>
  <c r="AD42" i="4"/>
  <c r="AE7"/>
  <c r="AE6"/>
  <c r="AD13"/>
  <c r="AC13" i="7" s="1"/>
  <c r="AD40" i="4"/>
  <c r="AE10"/>
  <c r="AE40"/>
  <c r="AC18" i="2"/>
  <c r="AM16" i="4"/>
  <c r="AH28" i="2"/>
  <c r="AO16" i="4"/>
  <c r="AO25" s="1"/>
  <c r="AN39"/>
  <c r="P16"/>
  <c r="P41"/>
  <c r="E41"/>
  <c r="W16"/>
  <c r="W24" i="1" s="1"/>
  <c r="AQ40" i="4"/>
  <c r="R81"/>
  <c r="AE18" i="2"/>
  <c r="AQ38" i="4"/>
  <c r="AJ23" i="6" s="1"/>
  <c r="AK40" i="4"/>
  <c r="AK42"/>
  <c r="K41"/>
  <c r="Q16"/>
  <c r="Q39"/>
  <c r="M5" i="1"/>
  <c r="E16" i="4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8" i="3"/>
  <c r="S42" i="4"/>
  <c r="Y6"/>
  <c r="Y40" s="1"/>
  <c r="X40"/>
  <c r="AS40"/>
  <c r="BF11" i="1"/>
  <c r="BF14" s="1"/>
  <c r="BF16" s="1"/>
  <c r="BF19" s="1"/>
  <c r="U28" i="2"/>
  <c r="AB20" i="3"/>
  <c r="AB25" s="1"/>
  <c r="R80" i="4"/>
  <c r="Y38"/>
  <c r="U23" i="6" s="1"/>
  <c r="AD18" i="2"/>
  <c r="G40" i="4"/>
  <c r="D16"/>
  <c r="D24" i="1" s="1"/>
  <c r="X42" i="4"/>
  <c r="R16"/>
  <c r="AV39"/>
  <c r="BI40"/>
  <c r="BB39"/>
  <c r="BG39"/>
  <c r="AZ39" l="1"/>
  <c r="AZ16"/>
  <c r="AJ39"/>
  <c r="AD16"/>
  <c r="V39"/>
  <c r="H16" i="6"/>
  <c r="H23" s="1"/>
  <c r="G11" i="7" s="1"/>
  <c r="BF20" i="3"/>
  <c r="BF25" s="1"/>
  <c r="BG20"/>
  <c r="BG25" s="1"/>
  <c r="BB20"/>
  <c r="BB25" s="1"/>
  <c r="AZ20"/>
  <c r="AZ25" s="1"/>
  <c r="AW11"/>
  <c r="J20"/>
  <c r="J25" s="1"/>
  <c r="M11"/>
  <c r="AU20"/>
  <c r="AU25" s="1"/>
  <c r="AQ18" i="2"/>
  <c r="AR18"/>
  <c r="T28"/>
  <c r="AB18"/>
  <c r="AL18"/>
  <c r="AN18"/>
  <c r="AS18"/>
  <c r="AT18"/>
  <c r="AM18"/>
  <c r="AX18"/>
  <c r="Y11" i="1"/>
  <c r="Y14" s="1"/>
  <c r="Y16" s="1"/>
  <c r="Y19" s="1"/>
  <c r="Y21" s="1"/>
  <c r="S11"/>
  <c r="S14" s="1"/>
  <c r="S16" s="1"/>
  <c r="S19" s="1"/>
  <c r="S21" s="1"/>
  <c r="N23" i="6"/>
  <c r="N35" s="1"/>
  <c r="BB11" i="7"/>
  <c r="BB5" s="1"/>
  <c r="BB6" s="1"/>
  <c r="AT39" i="4"/>
  <c r="BI13"/>
  <c r="AX13" i="7" s="1"/>
  <c r="BF39" i="4"/>
  <c r="BC25" i="6"/>
  <c r="BC27" s="1"/>
  <c r="BC16"/>
  <c r="BA13" i="7"/>
  <c r="M13" i="4"/>
  <c r="BB16" i="6"/>
  <c r="BB23" s="1"/>
  <c r="BM25" i="4"/>
  <c r="BC31" i="6"/>
  <c r="F11"/>
  <c r="D11"/>
  <c r="D14" s="1"/>
  <c r="E1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R13" i="7"/>
  <c r="L39" i="4"/>
  <c r="H13" i="7"/>
  <c r="X13" i="4"/>
  <c r="X16" s="1"/>
  <c r="AG23" i="6"/>
  <c r="AW42" i="4"/>
  <c r="AW41"/>
  <c r="BI38"/>
  <c r="Q79"/>
  <c r="I79"/>
  <c r="AE42"/>
  <c r="W39"/>
  <c r="K39"/>
  <c r="J13" i="7"/>
  <c r="AQ13" i="4"/>
  <c r="AI13" i="7" s="1"/>
  <c r="AQ68" i="4"/>
  <c r="AQ13" i="7"/>
  <c r="AR13"/>
  <c r="BI68" i="4"/>
  <c r="BO39"/>
  <c r="G11" i="3"/>
  <c r="AE11"/>
  <c r="AS20"/>
  <c r="AS25" s="1"/>
  <c r="AD20"/>
  <c r="AD25" s="1"/>
  <c r="L20"/>
  <c r="L25" s="1"/>
  <c r="C20"/>
  <c r="C25" s="1"/>
  <c r="AE18"/>
  <c r="Y11"/>
  <c r="AK11"/>
  <c r="AK20" s="1"/>
  <c r="AK25" s="1"/>
  <c r="BE20"/>
  <c r="BE25" s="1"/>
  <c r="S18"/>
  <c r="O20"/>
  <c r="O25" s="1"/>
  <c r="AV20"/>
  <c r="AV25" s="1"/>
  <c r="AT20"/>
  <c r="AT25" s="1"/>
  <c r="M18"/>
  <c r="Y18"/>
  <c r="D20"/>
  <c r="D25" s="1"/>
  <c r="AW35" i="1"/>
  <c r="U20" i="3"/>
  <c r="U25" s="1"/>
  <c r="BA20"/>
  <c r="BA25" s="1"/>
  <c r="Q20"/>
  <c r="Q25" s="1"/>
  <c r="E20"/>
  <c r="E25" s="1"/>
  <c r="BC11"/>
  <c r="G18"/>
  <c r="AQ18"/>
  <c r="F20"/>
  <c r="F25" s="1"/>
  <c r="AY20"/>
  <c r="AY25" s="1"/>
  <c r="BI18"/>
  <c r="AQ14" i="6"/>
  <c r="AE14"/>
  <c r="J79" i="4"/>
  <c r="AD14" i="6"/>
  <c r="F14"/>
  <c r="AH14"/>
  <c r="AI14"/>
  <c r="H14"/>
  <c r="AN14"/>
  <c r="E14"/>
  <c r="X39" i="4"/>
  <c r="V13" i="7"/>
  <c r="AJ25" i="4"/>
  <c r="AG14" i="7"/>
  <c r="I16" i="4"/>
  <c r="AB13" i="7"/>
  <c r="AS38" i="4"/>
  <c r="M15"/>
  <c r="M41" s="1"/>
  <c r="AH14" i="7"/>
  <c r="K16" i="4"/>
  <c r="AI23" i="6"/>
  <c r="AI25" s="1"/>
  <c r="AF13" i="7"/>
  <c r="AQ41" i="4"/>
  <c r="AG16"/>
  <c r="AD39"/>
  <c r="G13" i="7"/>
  <c r="M23" i="6"/>
  <c r="L11" i="7" s="1"/>
  <c r="BA16" i="6"/>
  <c r="BA23" s="1"/>
  <c r="G38" i="4"/>
  <c r="F23" i="6" s="1"/>
  <c r="AA13" i="7"/>
  <c r="K79" i="4"/>
  <c r="AB23" i="6"/>
  <c r="AB35" s="1"/>
  <c r="AE68" i="4"/>
  <c r="AI39"/>
  <c r="AE13"/>
  <c r="Y13" i="7" s="1"/>
  <c r="N13"/>
  <c r="C41" i="4"/>
  <c r="O16"/>
  <c r="AW68"/>
  <c r="BI41"/>
  <c r="BC13"/>
  <c r="AS13" i="7" s="1"/>
  <c r="BI42" i="4"/>
  <c r="X23" i="6"/>
  <c r="X25" s="1"/>
  <c r="C23"/>
  <c r="AM13" i="7"/>
  <c r="J16" i="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M14" i="7" s="1"/>
  <c r="AD23" i="6"/>
  <c r="AC11" i="7" s="1"/>
  <c r="AC5" s="1"/>
  <c r="F16" i="4"/>
  <c r="F24" i="1" s="1"/>
  <c r="Y41" i="4"/>
  <c r="AQ42"/>
  <c r="BI5" i="1"/>
  <c r="AZ13" i="7"/>
  <c r="AW23" i="6"/>
  <c r="AW35" s="1"/>
  <c r="P79" i="4"/>
  <c r="S13" i="7"/>
  <c r="D39" i="4"/>
  <c r="AU39"/>
  <c r="L16"/>
  <c r="AM39"/>
  <c r="AG13" i="7"/>
  <c r="M13"/>
  <c r="W23" i="6"/>
  <c r="W35" s="1"/>
  <c r="AP39" i="4"/>
  <c r="Y7"/>
  <c r="Y42" s="1"/>
  <c r="S38"/>
  <c r="P23" i="6" s="1"/>
  <c r="P35" s="1"/>
  <c r="BA39" i="4"/>
  <c r="AP13" i="7"/>
  <c r="AH23" i="6"/>
  <c r="AH25" s="1"/>
  <c r="AH13" i="7"/>
  <c r="G15" i="4"/>
  <c r="G41" s="1"/>
  <c r="Y68"/>
  <c r="I16" i="6"/>
  <c r="I23" s="1"/>
  <c r="I25" s="1"/>
  <c r="M20" i="3"/>
  <c r="M25" s="1"/>
  <c r="AE20"/>
  <c r="AE25" s="1"/>
  <c r="W18"/>
  <c r="W20" s="1"/>
  <c r="W25" s="1"/>
  <c r="BC18"/>
  <c r="P20"/>
  <c r="P25" s="1"/>
  <c r="AJ20"/>
  <c r="AJ25" s="1"/>
  <c r="I20"/>
  <c r="I25" s="1"/>
  <c r="R20"/>
  <c r="R25" s="1"/>
  <c r="BC35" i="1"/>
  <c r="AC20" i="3"/>
  <c r="AC25" s="1"/>
  <c r="K20"/>
  <c r="K25" s="1"/>
  <c r="S11"/>
  <c r="S20" s="1"/>
  <c r="S25" s="1"/>
  <c r="AQ7"/>
  <c r="AW18"/>
  <c r="AW20" s="1"/>
  <c r="AW25" s="1"/>
  <c r="BO20"/>
  <c r="BO25" s="1"/>
  <c r="AW18" i="2"/>
  <c r="AY18"/>
  <c r="AT28"/>
  <c r="P28"/>
  <c r="X28"/>
  <c r="AS28"/>
  <c r="BA29" i="1" s="1"/>
  <c r="AV18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6" i="2"/>
  <c r="AM14" i="6"/>
  <c r="BO25" i="4"/>
  <c r="BO7" i="1"/>
  <c r="BO11" s="1"/>
  <c r="BO14" s="1"/>
  <c r="BO16" s="1"/>
  <c r="BO19" s="1"/>
  <c r="BO21" s="1"/>
  <c r="BO5"/>
  <c r="AO14" i="6"/>
  <c r="AO6" i="3"/>
  <c r="AO11" s="1"/>
  <c r="AO20" s="1"/>
  <c r="AO25" s="1"/>
  <c r="BB25" i="4"/>
  <c r="BA25"/>
  <c r="BE25"/>
  <c r="AI25"/>
  <c r="AQ14" i="7"/>
  <c r="AZ25" i="4"/>
  <c r="AG25"/>
  <c r="AH25"/>
  <c r="BI35" i="1"/>
  <c r="BH20" i="3"/>
  <c r="BH25" s="1"/>
  <c r="AF14" i="7"/>
  <c r="AY39" i="4"/>
  <c r="AQ23" i="6"/>
  <c r="AQ25" s="1"/>
  <c r="AR23"/>
  <c r="AR35" s="1"/>
  <c r="AS23"/>
  <c r="AS25" s="1"/>
  <c r="AU25" i="4"/>
  <c r="AS25"/>
  <c r="S13"/>
  <c r="AK38"/>
  <c r="AE23" i="6" s="1"/>
  <c r="AD11" i="7" s="1"/>
  <c r="AD5" s="1"/>
  <c r="AK68" i="4"/>
  <c r="AI11" i="3"/>
  <c r="AI20" s="1"/>
  <c r="AI25" s="1"/>
  <c r="AK13" i="7"/>
  <c r="AV13"/>
  <c r="BI6" i="3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L14" i="7"/>
  <c r="AV23" i="6"/>
  <c r="AV35" s="1"/>
  <c r="BC40" i="4"/>
  <c r="U39"/>
  <c r="M42"/>
  <c r="O39"/>
  <c r="AW13"/>
  <c r="AN13" i="7" s="1"/>
  <c r="AW38" i="4"/>
  <c r="AO23" i="6" s="1"/>
  <c r="BC42" i="4"/>
  <c r="AU13" i="7"/>
  <c r="AW13"/>
  <c r="BH16" i="4"/>
  <c r="BH39"/>
  <c r="BI39"/>
  <c r="AH39"/>
  <c r="AR14" i="7"/>
  <c r="AP14"/>
  <c r="AV14"/>
  <c r="S14"/>
  <c r="G14"/>
  <c r="R14"/>
  <c r="AQ39" i="4"/>
  <c r="AK16"/>
  <c r="O23" i="6"/>
  <c r="O25" s="1"/>
  <c r="AE41" i="4"/>
  <c r="G13"/>
  <c r="G16" s="1"/>
  <c r="G24" i="1" s="1"/>
  <c r="AK13" i="4"/>
  <c r="AD13" i="7" s="1"/>
  <c r="AK41" i="4"/>
  <c r="AW40"/>
  <c r="AW5" i="1"/>
  <c r="AK24" i="4"/>
  <c r="V79"/>
  <c r="S68"/>
  <c r="R79" s="1"/>
  <c r="M68"/>
  <c r="L79" s="1"/>
  <c r="G68"/>
  <c r="AQ5" i="1"/>
  <c r="AW14" i="7"/>
  <c r="T11"/>
  <c r="T5" s="1"/>
  <c r="U25" i="6"/>
  <c r="U35"/>
  <c r="AN14" i="7"/>
  <c r="AY11" i="1"/>
  <c r="AY14" s="1"/>
  <c r="AY16" s="1"/>
  <c r="AY19" s="1"/>
  <c r="AY21" s="1"/>
  <c r="BC7"/>
  <c r="BC11" s="1"/>
  <c r="BC14" s="1"/>
  <c r="BC16" s="1"/>
  <c r="BC19" s="1"/>
  <c r="BC21" s="1"/>
  <c r="AC35" i="6"/>
  <c r="AB11" i="7"/>
  <c r="AB5" s="1"/>
  <c r="AC25" i="6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AX11" i="7" s="1"/>
  <c r="AX5" s="1"/>
  <c r="AA14"/>
  <c r="BC38" i="4"/>
  <c r="AE38"/>
  <c r="S25" i="6"/>
  <c r="R11" i="7"/>
  <c r="R5" s="1"/>
  <c r="S35" i="6"/>
  <c r="AF11" i="7"/>
  <c r="AF5" s="1"/>
  <c r="AG25" i="6"/>
  <c r="AG35"/>
  <c r="E25"/>
  <c r="E27" s="1"/>
  <c r="D25"/>
  <c r="D27" s="1"/>
  <c r="AO21" i="1"/>
  <c r="AW36" i="2"/>
  <c r="BF21" i="1"/>
  <c r="R35" i="6"/>
  <c r="R25"/>
  <c r="Q11" i="7"/>
  <c r="Q5" s="1"/>
  <c r="AN36" i="2"/>
  <c r="AU21" i="1"/>
  <c r="AH11" i="7"/>
  <c r="AH5" s="1"/>
  <c r="H25" i="6"/>
  <c r="AX36" i="2"/>
  <c r="BG21" i="1"/>
  <c r="AY36" i="2"/>
  <c r="BH21" i="1"/>
  <c r="S11" i="7"/>
  <c r="S5" s="1"/>
  <c r="AX35" i="6"/>
  <c r="AW11" i="7"/>
  <c r="AW5" s="1"/>
  <c r="AX25" i="6"/>
  <c r="AJ35"/>
  <c r="AI11" i="7"/>
  <c r="AI5" s="1"/>
  <c r="AJ25" i="6"/>
  <c r="AM36" i="2"/>
  <c r="AT21" i="1"/>
  <c r="AO36" i="2"/>
  <c r="AV21" i="1"/>
  <c r="AC14" i="7" l="1"/>
  <c r="AC7" s="1"/>
  <c r="AB14"/>
  <c r="X24" i="1"/>
  <c r="W14" i="7"/>
  <c r="V14"/>
  <c r="X14"/>
  <c r="Y16" i="4"/>
  <c r="T14" i="7" s="1"/>
  <c r="T7" s="1"/>
  <c r="R6"/>
  <c r="W13"/>
  <c r="X13"/>
  <c r="Y24" i="1"/>
  <c r="S16" i="4"/>
  <c r="S24" i="1" s="1"/>
  <c r="X11" i="7"/>
  <c r="X5" s="1"/>
  <c r="Y25" i="6"/>
  <c r="Y27" s="1"/>
  <c r="Y31" s="1"/>
  <c r="M11" i="7"/>
  <c r="N25" i="6"/>
  <c r="N27" s="1"/>
  <c r="N31" s="1"/>
  <c r="Y20" i="3"/>
  <c r="Y25" s="1"/>
  <c r="BC20"/>
  <c r="BC25" s="1"/>
  <c r="BC32" i="6"/>
  <c r="AZ14" i="7"/>
  <c r="BA14"/>
  <c r="BB35" i="6"/>
  <c r="BB25"/>
  <c r="BA11" i="7"/>
  <c r="BA5" s="1"/>
  <c r="BB14"/>
  <c r="BB7" s="1"/>
  <c r="F25" i="6"/>
  <c r="F27" s="1"/>
  <c r="F31" s="1"/>
  <c r="H14" i="7"/>
  <c r="AK25" i="4"/>
  <c r="AK39"/>
  <c r="Q14" i="7"/>
  <c r="G20" i="3"/>
  <c r="G25" s="1"/>
  <c r="BI20"/>
  <c r="BI25" s="1"/>
  <c r="AB6" i="7"/>
  <c r="H11"/>
  <c r="J11"/>
  <c r="AR11"/>
  <c r="AR5" s="1"/>
  <c r="AR7" s="1"/>
  <c r="D31" i="6"/>
  <c r="AS35"/>
  <c r="AG11" i="7"/>
  <c r="AG5" s="1"/>
  <c r="AG6" s="1"/>
  <c r="AH35" i="6"/>
  <c r="AD35"/>
  <c r="I11" i="7"/>
  <c r="AA11"/>
  <c r="AA5" s="1"/>
  <c r="AA6" s="1"/>
  <c r="E31" i="6"/>
  <c r="AB25"/>
  <c r="AB32" s="1"/>
  <c r="C25"/>
  <c r="C27" s="1"/>
  <c r="C31" s="1"/>
  <c r="P25"/>
  <c r="P32" s="1"/>
  <c r="T35"/>
  <c r="O11" i="7"/>
  <c r="M35" i="6"/>
  <c r="M25"/>
  <c r="M27" s="1"/>
  <c r="M31" s="1"/>
  <c r="W25"/>
  <c r="W32" s="1"/>
  <c r="AV11" i="7"/>
  <c r="AV5" s="1"/>
  <c r="AV7" s="1"/>
  <c r="AP11"/>
  <c r="AP5" s="1"/>
  <c r="AP6" s="1"/>
  <c r="AI35" i="6"/>
  <c r="M14" i="7"/>
  <c r="BA35" i="6"/>
  <c r="AZ11" i="7"/>
  <c r="AZ5" s="1"/>
  <c r="BA25" i="6"/>
  <c r="D32"/>
  <c r="N14" i="7"/>
  <c r="AN20" i="3"/>
  <c r="AN25" s="1"/>
  <c r="AD25" i="6"/>
  <c r="AD32" s="1"/>
  <c r="V11" i="7"/>
  <c r="V5" s="1"/>
  <c r="V6" s="1"/>
  <c r="M39" i="4"/>
  <c r="AQ35" i="6"/>
  <c r="AW39" i="4"/>
  <c r="AU14" i="7"/>
  <c r="M16" i="4"/>
  <c r="M24" i="1" s="1"/>
  <c r="I14" i="7"/>
  <c r="AM11" i="1"/>
  <c r="AM14" s="1"/>
  <c r="AM16" s="1"/>
  <c r="AM19" s="1"/>
  <c r="AM6" i="3"/>
  <c r="AM11" s="1"/>
  <c r="X35" i="6"/>
  <c r="AR25"/>
  <c r="AR32" s="1"/>
  <c r="J14" i="7"/>
  <c r="AV25" i="6"/>
  <c r="AV32" s="1"/>
  <c r="W11" i="7"/>
  <c r="W5" s="1"/>
  <c r="W6" s="1"/>
  <c r="AQ11"/>
  <c r="AQ5" s="1"/>
  <c r="AQ7" s="1"/>
  <c r="AW25" i="6"/>
  <c r="AW27" s="1"/>
  <c r="AW31" s="1"/>
  <c r="AK14" i="7"/>
  <c r="AL14"/>
  <c r="AN23" i="6"/>
  <c r="AM23"/>
  <c r="AL23"/>
  <c r="AS39" i="4"/>
  <c r="AQ16"/>
  <c r="AI14" i="7" s="1"/>
  <c r="AI7" s="1"/>
  <c r="AY25" i="6"/>
  <c r="AY32" s="1"/>
  <c r="Y13" i="4"/>
  <c r="T13" i="7" s="1"/>
  <c r="T6" s="1"/>
  <c r="BI16" i="4"/>
  <c r="O14" i="7"/>
  <c r="AD6"/>
  <c r="AN21" i="1"/>
  <c r="AV36" i="2"/>
  <c r="AE35" i="6"/>
  <c r="AU11" i="7"/>
  <c r="AU5" s="1"/>
  <c r="O35" i="6"/>
  <c r="AE25"/>
  <c r="AE27" s="1"/>
  <c r="AE31" s="1"/>
  <c r="N11" i="7"/>
  <c r="BH25" i="4"/>
  <c r="AB7" i="7"/>
  <c r="G39" i="4"/>
  <c r="AX6" i="7"/>
  <c r="AD14"/>
  <c r="AD7" s="1"/>
  <c r="AY35" i="6"/>
  <c r="AS14" i="7"/>
  <c r="BC24" i="1"/>
  <c r="AT23" i="6"/>
  <c r="BC39" i="4"/>
  <c r="AP11" i="3"/>
  <c r="AC27" i="6"/>
  <c r="AC31" s="1"/>
  <c r="AC32"/>
  <c r="AE39" i="4"/>
  <c r="Z23" i="6"/>
  <c r="AN11" i="7"/>
  <c r="AN5" s="1"/>
  <c r="AO25" i="6"/>
  <c r="AO35"/>
  <c r="Y14" i="7"/>
  <c r="N32" i="6"/>
  <c r="AC6" i="7"/>
  <c r="R7"/>
  <c r="U27" i="6"/>
  <c r="U31" s="1"/>
  <c r="U32"/>
  <c r="AF6" i="7"/>
  <c r="AF7"/>
  <c r="S27" i="6"/>
  <c r="S31" s="1"/>
  <c r="S32"/>
  <c r="E32"/>
  <c r="AG27"/>
  <c r="AG31" s="1"/>
  <c r="AG32"/>
  <c r="I27"/>
  <c r="I31" s="1"/>
  <c r="I32"/>
  <c r="AX27"/>
  <c r="AX31" s="1"/>
  <c r="AX32"/>
  <c r="S6" i="7"/>
  <c r="S7"/>
  <c r="O27" i="6"/>
  <c r="O31" s="1"/>
  <c r="O32"/>
  <c r="AJ27"/>
  <c r="AJ31" s="1"/>
  <c r="AJ32"/>
  <c r="AW7" i="7"/>
  <c r="AW6"/>
  <c r="K27" i="6"/>
  <c r="K31" s="1"/>
  <c r="K32"/>
  <c r="T27"/>
  <c r="T31" s="1"/>
  <c r="T32"/>
  <c r="AS27"/>
  <c r="AS31" s="1"/>
  <c r="AS32"/>
  <c r="AH7" i="7"/>
  <c r="AH6"/>
  <c r="R27" i="6"/>
  <c r="R31" s="1"/>
  <c r="R32"/>
  <c r="AH32"/>
  <c r="AH27"/>
  <c r="AH31" s="1"/>
  <c r="AI6" i="7"/>
  <c r="AQ27" i="6"/>
  <c r="AQ31" s="1"/>
  <c r="AQ32"/>
  <c r="X7" i="7"/>
  <c r="H27" i="6"/>
  <c r="H31" s="1"/>
  <c r="H32"/>
  <c r="AI27"/>
  <c r="AI31" s="1"/>
  <c r="AI32"/>
  <c r="AB27"/>
  <c r="AB31" s="1"/>
  <c r="Q6" i="7"/>
  <c r="Q7"/>
  <c r="X27" i="6"/>
  <c r="X31" s="1"/>
  <c r="X32"/>
  <c r="J27"/>
  <c r="J31" s="1"/>
  <c r="J32"/>
  <c r="AQ25" i="4" l="1"/>
  <c r="X6" i="7"/>
  <c r="Y32" i="6"/>
  <c r="C35" i="2"/>
  <c r="C41" s="1"/>
  <c r="D33" s="1"/>
  <c r="D35" s="1"/>
  <c r="D41" s="1"/>
  <c r="E33" s="1"/>
  <c r="BB27" i="6"/>
  <c r="BB31" s="1"/>
  <c r="BB32"/>
  <c r="BA6" i="7"/>
  <c r="BA7"/>
  <c r="F32" i="6"/>
  <c r="Y39" i="4"/>
  <c r="AQ6" i="3"/>
  <c r="AQ11" s="1"/>
  <c r="AQ20" s="1"/>
  <c r="AQ25" s="1"/>
  <c r="AG7" i="7"/>
  <c r="AP7"/>
  <c r="AW32" i="6"/>
  <c r="P27"/>
  <c r="P31" s="1"/>
  <c r="M32"/>
  <c r="AR6" i="7"/>
  <c r="AV27" i="6"/>
  <c r="AV31" s="1"/>
  <c r="AD27"/>
  <c r="AD31" s="1"/>
  <c r="W27"/>
  <c r="W31" s="1"/>
  <c r="AA7" i="7"/>
  <c r="C32" i="6"/>
  <c r="AV6" i="7"/>
  <c r="W7"/>
  <c r="AY27" i="6"/>
  <c r="AY31" s="1"/>
  <c r="AQ6" i="7"/>
  <c r="AX14"/>
  <c r="AX7" s="1"/>
  <c r="AM25" i="6"/>
  <c r="AM35"/>
  <c r="AL11" i="7"/>
  <c r="AL5" s="1"/>
  <c r="AM21" i="1"/>
  <c r="AU7" i="7"/>
  <c r="AS11" i="1"/>
  <c r="AS14" s="1"/>
  <c r="AS16" s="1"/>
  <c r="AS19" s="1"/>
  <c r="AS21" s="1"/>
  <c r="AW7"/>
  <c r="AW11" s="1"/>
  <c r="AW14" s="1"/>
  <c r="AW16" s="1"/>
  <c r="AW19" s="1"/>
  <c r="AW21" s="1"/>
  <c r="AN35" i="6"/>
  <c r="AN25"/>
  <c r="AM11" i="7"/>
  <c r="AM5" s="1"/>
  <c r="BA27" i="6"/>
  <c r="BA31" s="1"/>
  <c r="BA32"/>
  <c r="AL35"/>
  <c r="AL25"/>
  <c r="AK11" i="7"/>
  <c r="AK5" s="1"/>
  <c r="AM20" i="3"/>
  <c r="AM25" s="1"/>
  <c r="AR27" i="6"/>
  <c r="AR31" s="1"/>
  <c r="AE32"/>
  <c r="BI25" i="4"/>
  <c r="AZ6" i="7"/>
  <c r="AZ7"/>
  <c r="V7"/>
  <c r="AU6"/>
  <c r="AO27" i="6"/>
  <c r="AO31" s="1"/>
  <c r="AO32"/>
  <c r="Z25"/>
  <c r="Y11" i="7"/>
  <c r="Y5" s="1"/>
  <c r="Z35" i="6"/>
  <c r="AN6" i="7"/>
  <c r="AN7"/>
  <c r="AP20" i="3"/>
  <c r="AP25" s="1"/>
  <c r="AT35" i="6"/>
  <c r="AT25"/>
  <c r="AS11" i="7"/>
  <c r="AS5" s="1"/>
  <c r="E35" i="2" l="1"/>
  <c r="E41" s="1"/>
  <c r="F33" s="1"/>
  <c r="AL27" i="6"/>
  <c r="AL31" s="1"/>
  <c r="AL32"/>
  <c r="AQ35" i="1"/>
  <c r="AM7" i="7"/>
  <c r="AM6"/>
  <c r="AL7"/>
  <c r="AL6"/>
  <c r="AK7"/>
  <c r="AK6"/>
  <c r="AM27" i="6"/>
  <c r="AM31" s="1"/>
  <c r="AM32"/>
  <c r="AN32"/>
  <c r="AN27"/>
  <c r="AN31" s="1"/>
  <c r="AT27"/>
  <c r="AT31" s="1"/>
  <c r="AT32"/>
  <c r="Z32"/>
  <c r="Z27"/>
  <c r="Z31" s="1"/>
  <c r="AS7" i="7"/>
  <c r="AS6"/>
  <c r="Y7"/>
  <c r="Y6"/>
  <c r="F35" i="2" l="1"/>
  <c r="F41" s="1"/>
  <c r="H33" s="1"/>
  <c r="H35" s="1"/>
  <c r="H41" s="1"/>
  <c r="I33" s="1"/>
  <c r="I35" s="1"/>
  <c r="I41" s="1"/>
  <c r="J33" s="1"/>
  <c r="J35" s="1"/>
  <c r="J41" s="1"/>
  <c r="K33" s="1"/>
  <c r="K35" s="1"/>
  <c r="K41" s="1"/>
  <c r="M33" s="1"/>
  <c r="M35" s="1"/>
  <c r="M41" s="1"/>
  <c r="N33" s="1"/>
  <c r="N35" s="1"/>
  <c r="N41" s="1"/>
  <c r="O33" s="1"/>
  <c r="O35" s="1"/>
  <c r="O41" s="1"/>
  <c r="P33" s="1"/>
  <c r="P35" s="1"/>
  <c r="P41" s="1"/>
  <c r="R33" s="1"/>
  <c r="R35" s="1"/>
  <c r="R41" s="1"/>
  <c r="S33" s="1"/>
  <c r="S35" s="1"/>
  <c r="S41" s="1"/>
  <c r="T33" s="1"/>
  <c r="T35" s="1"/>
  <c r="T41" s="1"/>
  <c r="U33" s="1"/>
  <c r="U35" s="1"/>
  <c r="U41" s="1"/>
  <c r="W33" s="1"/>
  <c r="W35" s="1"/>
  <c r="W41" s="1"/>
  <c r="X33" s="1"/>
  <c r="X35" s="1"/>
  <c r="X41" s="1"/>
  <c r="Y33" s="1"/>
  <c r="Y35" s="1"/>
  <c r="Y41" s="1"/>
  <c r="Z33" s="1"/>
  <c r="Z35" s="1"/>
  <c r="Z41" s="1"/>
  <c r="AB33" s="1"/>
  <c r="AB35" s="1"/>
  <c r="AB41" s="1"/>
  <c r="AC33" s="1"/>
  <c r="AC35" s="1"/>
  <c r="AC41" s="1"/>
  <c r="AD33" s="1"/>
  <c r="AD35" s="1"/>
  <c r="AD41" s="1"/>
  <c r="AE33" s="1"/>
  <c r="AE35" s="1"/>
  <c r="AE41" s="1"/>
  <c r="AG33" s="1"/>
  <c r="AG35" s="1"/>
  <c r="AG41" s="1"/>
  <c r="AH33" s="1"/>
  <c r="AH35" s="1"/>
  <c r="AH41" s="1"/>
  <c r="AI33" s="1"/>
  <c r="AI35" s="1"/>
  <c r="AI41" s="1"/>
  <c r="AJ33" s="1"/>
  <c r="AJ35" s="1"/>
  <c r="AJ41" s="1"/>
  <c r="AL33" s="1"/>
  <c r="AL35" s="1"/>
  <c r="AL41" s="1"/>
  <c r="AM33" s="1"/>
  <c r="AM35" s="1"/>
  <c r="AM41" s="1"/>
  <c r="AN33" s="1"/>
  <c r="AN35" s="1"/>
  <c r="AN41" s="1"/>
  <c r="AO33" s="1"/>
  <c r="AO35" s="1"/>
  <c r="AO41" s="1"/>
  <c r="AQ33" s="1"/>
  <c r="AQ35" s="1"/>
  <c r="AQ41" s="1"/>
  <c r="AR33" s="1"/>
  <c r="AR35" s="1"/>
  <c r="AR41" s="1"/>
  <c r="AS33" s="1"/>
  <c r="AS35" s="1"/>
  <c r="AS41" s="1"/>
  <c r="AT33" s="1"/>
  <c r="AT35" s="1"/>
  <c r="AT41" s="1"/>
  <c r="AV33" s="1"/>
  <c r="AV35" s="1"/>
  <c r="AV41" s="1"/>
  <c r="AW33" s="1"/>
  <c r="AW35" s="1"/>
  <c r="AW41" s="1"/>
  <c r="AX33" s="1"/>
  <c r="AX35" s="1"/>
  <c r="AX41" s="1"/>
  <c r="AY33" s="1"/>
  <c r="AY35" s="1"/>
  <c r="AY41" s="1"/>
  <c r="BA33" s="1"/>
  <c r="BA35" s="1"/>
  <c r="BA41" s="1"/>
  <c r="BB33" s="1"/>
  <c r="BB35" s="1"/>
  <c r="BB41" s="1"/>
  <c r="BC33" s="1"/>
  <c r="BC35" s="1"/>
  <c r="BC41" s="1"/>
  <c r="BD33" s="1"/>
  <c r="BD35" s="1"/>
  <c r="BD41" s="1"/>
  <c r="BF33" s="1"/>
  <c r="BF35" s="1"/>
  <c r="BF41" s="1"/>
  <c r="BG33" s="1"/>
  <c r="BG35" s="1"/>
  <c r="BG41" s="1"/>
  <c r="G29" i="3"/>
  <c r="G31" s="1"/>
  <c r="C31"/>
  <c r="D29" s="1"/>
  <c r="D31" s="1"/>
  <c r="E29" s="1"/>
  <c r="E31" s="1"/>
  <c r="F29" s="1"/>
  <c r="F31" s="1"/>
  <c r="I29" s="1"/>
  <c r="I31" l="1"/>
  <c r="J29" s="1"/>
  <c r="J31" s="1"/>
  <c r="K29" s="1"/>
  <c r="K31" s="1"/>
  <c r="L29" s="1"/>
  <c r="L31" s="1"/>
  <c r="O29" s="1"/>
  <c r="M29"/>
  <c r="M31" s="1"/>
  <c r="S29" l="1"/>
  <c r="S31" s="1"/>
  <c r="U29" s="1"/>
  <c r="O31"/>
  <c r="P29" s="1"/>
  <c r="P31" s="1"/>
  <c r="Q29" s="1"/>
  <c r="Q31" s="1"/>
  <c r="R29" s="1"/>
  <c r="R31" s="1"/>
  <c r="U31" l="1"/>
  <c r="V29" s="1"/>
  <c r="V31" s="1"/>
  <c r="W29" s="1"/>
  <c r="W31" s="1"/>
  <c r="X29" s="1"/>
  <c r="X31" s="1"/>
  <c r="Y29"/>
  <c r="Y31" s="1"/>
  <c r="AA29" s="1"/>
  <c r="AE29" l="1"/>
  <c r="AE31" s="1"/>
  <c r="AG29" s="1"/>
  <c r="AA31"/>
  <c r="AB29" s="1"/>
  <c r="AB31" s="1"/>
  <c r="AC29" s="1"/>
  <c r="AC31" s="1"/>
  <c r="AD29" s="1"/>
  <c r="AD31" s="1"/>
  <c r="AK29" l="1"/>
  <c r="AK31" s="1"/>
  <c r="AG31"/>
  <c r="AH29" s="1"/>
  <c r="AH31" s="1"/>
  <c r="AI29" s="1"/>
  <c r="AI31" s="1"/>
  <c r="AJ29" s="1"/>
  <c r="AJ31" s="1"/>
  <c r="AM29" s="1"/>
  <c r="AQ29" l="1"/>
  <c r="AQ31" s="1"/>
  <c r="AM31"/>
  <c r="AN29" s="1"/>
  <c r="AN31" s="1"/>
  <c r="AO29" s="1"/>
  <c r="AO31" s="1"/>
  <c r="AP29" s="1"/>
  <c r="AP31" s="1"/>
  <c r="AS29" s="1"/>
  <c r="AW29" l="1"/>
  <c r="AW31" s="1"/>
  <c r="AS31"/>
  <c r="AT29" s="1"/>
  <c r="AT31" s="1"/>
  <c r="AU29" s="1"/>
  <c r="AU31" s="1"/>
  <c r="AV29" s="1"/>
  <c r="AV31" s="1"/>
  <c r="AY29" s="1"/>
  <c r="AY31" l="1"/>
  <c r="AZ29" s="1"/>
  <c r="AZ31" s="1"/>
  <c r="BA29" s="1"/>
  <c r="BA31" s="1"/>
  <c r="BB29" s="1"/>
  <c r="BB31" s="1"/>
  <c r="BE29" s="1"/>
  <c r="BC29"/>
  <c r="BC31" s="1"/>
  <c r="BE31" l="1"/>
  <c r="BF29" s="1"/>
  <c r="BF31" s="1"/>
  <c r="BG29" s="1"/>
  <c r="BG31" s="1"/>
  <c r="BH29" s="1"/>
  <c r="BH31" s="1"/>
  <c r="BK29" s="1"/>
  <c r="BI29"/>
  <c r="BI31" s="1"/>
  <c r="BO29" l="1"/>
  <c r="BO31" s="1"/>
  <c r="BK31"/>
  <c r="BL29" s="1"/>
  <c r="BL31" s="1"/>
  <c r="BM29" s="1"/>
  <c r="BM31" s="1"/>
  <c r="BN29" s="1"/>
  <c r="BN31" s="1"/>
  <c r="BQ29" s="1"/>
  <c r="BU29" l="1"/>
  <c r="BU31" s="1"/>
  <c r="BQ31"/>
  <c r="BR29" s="1"/>
  <c r="BR31" s="1"/>
</calcChain>
</file>

<file path=xl/sharedStrings.xml><?xml version="1.0" encoding="utf-8"?>
<sst xmlns="http://schemas.openxmlformats.org/spreadsheetml/2006/main" count="661" uniqueCount="225">
  <si>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</si>
  <si>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</si>
  <si>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</si>
  <si>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</si>
  <si>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</si>
  <si>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</si>
  <si>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</si>
  <si>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</si>
  <si>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</si>
  <si>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</si>
  <si>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</si>
  <si>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</si>
  <si>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</si>
  <si>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</si>
  <si>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</si>
  <si>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</si>
  <si>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</si>
  <si>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</si>
  <si>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</si>
  <si>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</si>
  <si>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</si>
  <si>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</si>
  <si>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</si>
  <si>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</si>
  <si>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</si>
  <si>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</si>
  <si>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</si>
  <si>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</si>
  <si>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</si>
  <si>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</si>
  <si>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</si>
  <si>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</si>
  <si>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</si>
  <si>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</si>
  <si>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NKT Holding A/S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</si>
  <si>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</si>
  <si>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</si>
  <si>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</si>
  <si>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</si>
  <si>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</si>
  <si>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</si>
  <si>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EBITDA (Last 12 months)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</si>
  <si>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</si>
  <si>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</si>
  <si>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</si>
  <si>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</si>
  <si>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</si>
  <si>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</si>
  <si>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</si>
  <si>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</si>
  <si>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</si>
  <si>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</si>
  <si>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</si>
  <si>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</si>
  <si>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</si>
  <si>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</si>
  <si>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</si>
  <si>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</si>
  <si>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</si>
  <si>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</si>
  <si>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</si>
  <si>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</si>
  <si>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</si>
  <si>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</si>
  <si>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</si>
  <si>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</si>
  <si>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</si>
  <si>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</si>
  <si>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</si>
  <si>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Q4-07</t>
  </si>
  <si>
    <t xml:space="preserve"> - NKT Cables *)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</si>
  <si>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</si>
  <si>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</si>
  <si>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</si>
  <si>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</si>
  <si>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</si>
  <si>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</si>
  <si>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</si>
  <si>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</si>
  <si>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In the event of any questions regarding interpretations of the content of the financial information</t>
  </si>
  <si>
    <t>IFRS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</si>
  <si>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</si>
  <si>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</si>
  <si>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</si>
  <si>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</si>
  <si>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</si>
  <si>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</si>
  <si>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</si>
  <si>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</si>
  <si>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</si>
  <si>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</si>
  <si>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</si>
  <si>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</si>
  <si>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</si>
  <si>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</si>
  <si>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</si>
  <si>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</si>
  <si>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</si>
  <si>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NKT Cables, market prices</t>
  </si>
  <si>
    <t>Photonics Group</t>
  </si>
  <si>
    <t>NKT Cables, standard prices **)</t>
  </si>
  <si>
    <t>NKT Cables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</si>
  <si>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</si>
  <si>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</si>
  <si>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</si>
  <si>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</si>
  <si>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</si>
  <si>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</si>
  <si>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</si>
  <si>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</si>
  <si>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</si>
  <si>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</si>
  <si>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</si>
  <si>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</si>
  <si>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</si>
  <si>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</si>
  <si>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</si>
  <si>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</si>
  <si>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</si>
  <si>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</si>
  <si>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</si>
  <si>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</si>
  <si>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</si>
  <si>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</si>
  <si>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Assets held for sale</t>
  </si>
  <si>
    <t>Q1-12</t>
  </si>
  <si>
    <t>Q2-12</t>
  </si>
  <si>
    <t>Q3-12</t>
  </si>
  <si>
    <t>Q4-12</t>
  </si>
  <si>
    <t>Dividend paid (adopted at AGM)</t>
  </si>
  <si>
    <t>Discontinued operation, NKT Flexibles</t>
  </si>
  <si>
    <t>Operational EBITDA LTM, Group</t>
  </si>
  <si>
    <t>Operational EBITDA LTM, NKT Flexibles</t>
  </si>
  <si>
    <t>Actuarial gain/loss defined benefit obligations pensions</t>
  </si>
  <si>
    <t>Q1-13</t>
  </si>
  <si>
    <t>Q2-13</t>
  </si>
  <si>
    <t>Q3-13</t>
  </si>
  <si>
    <t>Q4-13</t>
  </si>
  <si>
    <t>Q1-14</t>
  </si>
  <si>
    <t>Q2-14</t>
  </si>
  <si>
    <t>Q3-14</t>
  </si>
  <si>
    <t>NKT Holding A/S releases financial information via Nasdaq Copenhagen.</t>
  </si>
  <si>
    <t>contained on the following pages, the information released to Nasdaq Copenhagen shall prevail.</t>
  </si>
  <si>
    <t>Total Revenue, standard prices</t>
  </si>
  <si>
    <t>Q4-14</t>
  </si>
  <si>
    <t>Oper. EBITDA% - Group, std. prices</t>
  </si>
  <si>
    <t xml:space="preserve"> - NKT Cables, std. prices</t>
  </si>
  <si>
    <t xml:space="preserve"> - Photonics Group</t>
  </si>
  <si>
    <t xml:space="preserve"> - Nilfisk</t>
  </si>
  <si>
    <t>Operational EBITDA *)</t>
  </si>
  <si>
    <t>Nilfisk</t>
  </si>
  <si>
    <t xml:space="preserve"> - Nilfisk *)</t>
  </si>
  <si>
    <t>Q1-15</t>
  </si>
  <si>
    <r>
      <t>Key Figures</t>
    </r>
    <r>
      <rPr>
        <sz val="20"/>
        <rFont val="Arial"/>
        <family val="2"/>
        <scheme val="minor"/>
      </rPr>
      <t xml:space="preserve"> (unaudited)</t>
    </r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</si>
  <si>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</si>
  <si>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</si>
  <si>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</si>
  <si>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</si>
  <si>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</si>
  <si>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</si>
  <si>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</si>
  <si>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</si>
  <si>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</si>
  <si>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</si>
  <si>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**) Standard metalprices at 1,550 EUR/tonne for copper and 1,350 EUR/tonne for aluminium</t>
  </si>
  <si>
    <t>Gain submarine plant</t>
  </si>
  <si>
    <t>Annualising acquisitions.</t>
  </si>
  <si>
    <t>EV / Operational EBITDA (total)</t>
  </si>
  <si>
    <t>EV / Operational EBITDA (industrial activities)</t>
  </si>
  <si>
    <t>Oper. EBITDA% LTM (continued oper.)</t>
  </si>
  <si>
    <t>Oper. EBITDA% LTM, std. (continued oper.)</t>
  </si>
  <si>
    <t>The following pages are intended to summarise previously released financial information.</t>
  </si>
  <si>
    <t>Number of DKK 20 shares ('000)</t>
  </si>
  <si>
    <t>Q2-15</t>
  </si>
  <si>
    <t>Q3-15</t>
  </si>
  <si>
    <t>Total equity, after adjustments</t>
  </si>
  <si>
    <t>Income Statement (EURm)</t>
  </si>
  <si>
    <t>Earnings per share (EPS), EUR</t>
  </si>
  <si>
    <t>Market capitalisation (EURm)</t>
  </si>
  <si>
    <t>Minority interests (EURm)</t>
  </si>
  <si>
    <t>Net interest bearing debt (EURm)</t>
  </si>
  <si>
    <t>Equity, closing balance</t>
  </si>
  <si>
    <t>Cash flow (EURm)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</si>
  <si>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</si>
  <si>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</si>
  <si>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</si>
  <si>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</si>
  <si>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</si>
  <si>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</si>
  <si>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</si>
  <si>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</si>
  <si>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</si>
  <si>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</si>
  <si>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</si>
  <si>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</si>
  <si>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</si>
  <si>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</si>
  <si>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</si>
  <si>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</si>
  <si>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</si>
  <si>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Free cash flow</t>
  </si>
  <si>
    <t>Currency adjustments etc.</t>
  </si>
  <si>
    <t>Net interest-bearing items, opening balance</t>
  </si>
  <si>
    <t>Net interest-bearing items, closing balance</t>
  </si>
  <si>
    <t>Q4-15</t>
  </si>
  <si>
    <t>(EURm)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</si>
  <si>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</si>
  <si>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</si>
  <si>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</si>
  <si>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</si>
  <si>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</si>
  <si>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</si>
  <si>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</si>
  <si>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2005 to 2016</t>
  </si>
  <si>
    <t>2016</t>
  </si>
  <si>
    <t>of 7.45</t>
  </si>
  <si>
    <t>Amounts reported in DKKm before 2016 are</t>
  </si>
  <si>
    <t>converted to EURm with at a fixed exchange rate</t>
  </si>
  <si>
    <t>Share buyback / warrants etc.</t>
  </si>
  <si>
    <t>Q1-16</t>
  </si>
  <si>
    <t>Oper. EBITDA LTM EURm (continued oper.)</t>
  </si>
  <si>
    <t>neg.</t>
  </si>
  <si>
    <t>Number of treasury shares ('000)</t>
  </si>
  <si>
    <t>Own shares/warrants/share buyback etc.</t>
  </si>
  <si>
    <t>Q2-16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</si>
</sst>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ajor"/>
    </font>
    <font>
      <sz val="36"/>
      <name val="Arial"/>
      <family val="2"/>
      <scheme val="minor"/>
    </font>
    <font>
      <sz val="20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theme="5"/>
      <name val="Arial"/>
      <family val="2"/>
      <scheme val="major"/>
    </font>
    <font>
      <b/>
      <sz val="10"/>
      <color theme="4"/>
      <name val="Arial"/>
      <family val="2"/>
      <scheme val="maj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hair">
        <color indexed="64"/>
      </top>
      <bottom style="medium">
        <color theme="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/>
    <xf numFmtId="37" fontId="3" fillId="0" borderId="0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Fill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5" fillId="3" borderId="0" xfId="0" applyNumberFormat="1" applyFont="1" applyFill="1"/>
    <xf numFmtId="1" fontId="5" fillId="0" borderId="0" xfId="0" applyNumberFormat="1" applyFont="1" applyFill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37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Fill="1"/>
    <xf numFmtId="37" fontId="3" fillId="0" borderId="0" xfId="0" quotePrefix="1" applyNumberFormat="1" applyFont="1"/>
    <xf numFmtId="37" fontId="5" fillId="0" borderId="0" xfId="0" quotePrefix="1" applyNumberFormat="1" applyFont="1"/>
    <xf numFmtId="0" fontId="9" fillId="0" borderId="0" xfId="0" applyFont="1"/>
    <xf numFmtId="37" fontId="9" fillId="0" borderId="0" xfId="0" applyNumberFormat="1" applyFont="1" applyFill="1"/>
    <xf numFmtId="166" fontId="9" fillId="0" borderId="0" xfId="2" applyNumberFormat="1" applyFont="1"/>
    <xf numFmtId="37" fontId="9" fillId="0" borderId="0" xfId="0" applyNumberFormat="1" applyFont="1"/>
    <xf numFmtId="37" fontId="9" fillId="0" borderId="0" xfId="0" quotePrefix="1" applyNumberFormat="1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NumberFormat="1" applyFont="1"/>
    <xf numFmtId="0" fontId="5" fillId="0" borderId="4" xfId="0" applyFont="1" applyBorder="1"/>
    <xf numFmtId="0" fontId="5" fillId="0" borderId="4" xfId="0" applyFont="1" applyFill="1" applyBorder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3" fillId="0" borderId="2" xfId="0" applyFont="1" applyFill="1" applyBorder="1"/>
    <xf numFmtId="37" fontId="3" fillId="6" borderId="0" xfId="0" applyNumberFormat="1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horizontal="right"/>
    </xf>
    <xf numFmtId="0" fontId="16" fillId="0" borderId="5" xfId="0" applyFont="1" applyFill="1" applyBorder="1"/>
    <xf numFmtId="0" fontId="5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37" fontId="3" fillId="0" borderId="7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4" xfId="0" applyFont="1" applyFill="1" applyBorder="1"/>
    <xf numFmtId="0" fontId="5" fillId="3" borderId="4" xfId="0" applyFont="1" applyFill="1" applyBorder="1"/>
    <xf numFmtId="37" fontId="5" fillId="3" borderId="4" xfId="0" applyNumberFormat="1" applyFont="1" applyFill="1" applyBorder="1"/>
    <xf numFmtId="37" fontId="5" fillId="0" borderId="4" xfId="0" applyNumberFormat="1" applyFont="1" applyFill="1" applyBorder="1"/>
    <xf numFmtId="0" fontId="5" fillId="6" borderId="4" xfId="0" applyFont="1" applyFill="1" applyBorder="1"/>
    <xf numFmtId="0" fontId="5" fillId="0" borderId="7" xfId="0" applyFont="1" applyBorder="1"/>
    <xf numFmtId="0" fontId="5" fillId="6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37" fontId="3" fillId="6" borderId="3" xfId="0" applyNumberFormat="1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3" fillId="0" borderId="10" xfId="0" applyFont="1" applyBorder="1"/>
    <xf numFmtId="166" fontId="3" fillId="0" borderId="10" xfId="2" applyNumberFormat="1" applyFont="1" applyBorder="1"/>
    <xf numFmtId="166" fontId="3" fillId="0" borderId="10" xfId="2" applyNumberFormat="1" applyFont="1" applyFill="1" applyBorder="1"/>
    <xf numFmtId="37" fontId="5" fillId="0" borderId="10" xfId="0" applyNumberFormat="1" applyFont="1" applyBorder="1"/>
    <xf numFmtId="168" fontId="3" fillId="0" borderId="10" xfId="1" applyNumberFormat="1" applyFont="1" applyBorder="1"/>
    <xf numFmtId="0" fontId="9" fillId="0" borderId="10" xfId="0" applyFont="1" applyBorder="1"/>
    <xf numFmtId="0" fontId="3" fillId="0" borderId="12" xfId="0" applyFont="1" applyBorder="1"/>
    <xf numFmtId="37" fontId="3" fillId="0" borderId="12" xfId="0" applyNumberFormat="1" applyFont="1" applyFill="1" applyBorder="1"/>
    <xf numFmtId="37" fontId="3" fillId="0" borderId="12" xfId="0" applyNumberFormat="1" applyFont="1" applyBorder="1"/>
    <xf numFmtId="37" fontId="3" fillId="6" borderId="12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37" fontId="5" fillId="0" borderId="3" xfId="0" applyNumberFormat="1" applyFont="1" applyFill="1" applyBorder="1"/>
    <xf numFmtId="0" fontId="3" fillId="0" borderId="3" xfId="0" applyFont="1" applyBorder="1"/>
    <xf numFmtId="0" fontId="5" fillId="0" borderId="9" xfId="0" applyFont="1" applyBorder="1"/>
    <xf numFmtId="0" fontId="3" fillId="6" borderId="9" xfId="0" applyFont="1" applyFill="1" applyBorder="1"/>
    <xf numFmtId="166" fontId="3" fillId="6" borderId="0" xfId="2" applyNumberFormat="1" applyFont="1" applyFill="1" applyBorder="1"/>
    <xf numFmtId="0" fontId="13" fillId="0" borderId="0" xfId="0" applyFont="1"/>
    <xf numFmtId="37" fontId="5" fillId="3" borderId="3" xfId="0" applyNumberFormat="1" applyFont="1" applyFill="1" applyBorder="1"/>
    <xf numFmtId="0" fontId="3" fillId="0" borderId="3" xfId="0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7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0" fontId="9" fillId="0" borderId="0" xfId="0" applyFont="1" applyBorder="1"/>
    <xf numFmtId="37" fontId="9" fillId="0" borderId="0" xfId="0" applyNumberFormat="1" applyFont="1" applyFill="1" applyBorder="1"/>
    <xf numFmtId="0" fontId="9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9" fillId="0" borderId="5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6" xfId="0" applyNumberFormat="1" applyFont="1" applyBorder="1"/>
    <xf numFmtId="170" fontId="3" fillId="6" borderId="6" xfId="0" applyNumberFormat="1" applyFont="1" applyFill="1" applyBorder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5" fillId="6" borderId="6" xfId="0" applyNumberFormat="1" applyFont="1" applyFill="1" applyBorder="1"/>
    <xf numFmtId="170" fontId="5" fillId="0" borderId="7" xfId="0" applyNumberFormat="1" applyFont="1" applyBorder="1"/>
    <xf numFmtId="170" fontId="5" fillId="6" borderId="7" xfId="0" applyNumberFormat="1" applyFont="1" applyFill="1" applyBorder="1"/>
    <xf numFmtId="170" fontId="5" fillId="6" borderId="0" xfId="0" applyNumberFormat="1" applyFont="1" applyFill="1"/>
    <xf numFmtId="170" fontId="5" fillId="0" borderId="0" xfId="0" applyNumberFormat="1" applyFont="1" applyFill="1"/>
    <xf numFmtId="170" fontId="5" fillId="0" borderId="6" xfId="0" applyNumberFormat="1" applyFont="1" applyFill="1" applyBorder="1"/>
    <xf numFmtId="170" fontId="3" fillId="0" borderId="0" xfId="0" applyNumberFormat="1" applyFont="1" applyBorder="1"/>
    <xf numFmtId="170" fontId="3" fillId="6" borderId="0" xfId="0" applyNumberFormat="1" applyFont="1" applyFill="1" applyBorder="1"/>
    <xf numFmtId="170" fontId="4" fillId="0" borderId="2" xfId="0" applyNumberFormat="1" applyFont="1" applyFill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Fill="1" applyBorder="1"/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65" fontId="14" fillId="0" borderId="5" xfId="0" applyNumberFormat="1" applyFont="1" applyFill="1" applyBorder="1"/>
    <xf numFmtId="165" fontId="15" fillId="0" borderId="5" xfId="0" applyNumberFormat="1" applyFont="1" applyFill="1" applyBorder="1" applyAlignment="1">
      <alignment horizontal="right"/>
    </xf>
    <xf numFmtId="165" fontId="16" fillId="0" borderId="5" xfId="0" applyNumberFormat="1" applyFont="1" applyFill="1" applyBorder="1"/>
    <xf numFmtId="165" fontId="3" fillId="0" borderId="0" xfId="0" applyNumberFormat="1" applyFont="1"/>
    <xf numFmtId="165" fontId="5" fillId="6" borderId="0" xfId="0" applyNumberFormat="1" applyFont="1" applyFill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5" fillId="6" borderId="6" xfId="0" applyNumberFormat="1" applyFont="1" applyFill="1" applyBorder="1"/>
    <xf numFmtId="165" fontId="5" fillId="0" borderId="7" xfId="0" applyNumberFormat="1" applyFont="1" applyBorder="1"/>
    <xf numFmtId="165" fontId="3" fillId="0" borderId="7" xfId="0" applyNumberFormat="1" applyFont="1" applyBorder="1"/>
    <xf numFmtId="165" fontId="5" fillId="6" borderId="7" xfId="0" applyNumberFormat="1" applyFont="1" applyFill="1" applyBorder="1"/>
    <xf numFmtId="165" fontId="5" fillId="0" borderId="7" xfId="0" applyNumberFormat="1" applyFont="1" applyFill="1" applyBorder="1"/>
    <xf numFmtId="165" fontId="5" fillId="0" borderId="8" xfId="0" applyNumberFormat="1" applyFont="1" applyBorder="1"/>
    <xf numFmtId="165" fontId="3" fillId="0" borderId="8" xfId="0" applyNumberFormat="1" applyFont="1" applyBorder="1"/>
    <xf numFmtId="165" fontId="5" fillId="6" borderId="8" xfId="0" applyNumberFormat="1" applyFont="1" applyFill="1" applyBorder="1"/>
    <xf numFmtId="165" fontId="5" fillId="0" borderId="0" xfId="1" applyNumberFormat="1" applyFont="1"/>
    <xf numFmtId="165" fontId="5" fillId="0" borderId="0" xfId="0" applyNumberFormat="1" applyFont="1" applyBorder="1"/>
    <xf numFmtId="165" fontId="5" fillId="6" borderId="0" xfId="0" applyNumberFormat="1" applyFont="1" applyFill="1" applyBorder="1"/>
    <xf numFmtId="165" fontId="7" fillId="0" borderId="0" xfId="0" applyNumberFormat="1" applyFont="1" applyFill="1"/>
    <xf numFmtId="165" fontId="4" fillId="0" borderId="0" xfId="0" applyNumberFormat="1" applyFont="1" applyFill="1" applyAlignment="1"/>
    <xf numFmtId="165" fontId="4" fillId="6" borderId="0" xfId="0" applyNumberFormat="1" applyFont="1" applyFill="1" applyAlignment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3" fillId="6" borderId="0" xfId="0" applyNumberFormat="1" applyFont="1" applyFill="1" applyAlignment="1">
      <alignment horizont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5" fillId="0" borderId="2" xfId="0" applyNumberFormat="1" applyFont="1" applyBorder="1"/>
    <xf numFmtId="165" fontId="5" fillId="0" borderId="6" xfId="0" applyNumberFormat="1" applyFont="1" applyFill="1" applyBorder="1"/>
    <xf numFmtId="165" fontId="5" fillId="3" borderId="6" xfId="0" applyNumberFormat="1" applyFont="1" applyFill="1" applyBorder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6" borderId="4" xfId="0" applyNumberFormat="1" applyFont="1" applyFill="1" applyBorder="1"/>
    <xf numFmtId="165" fontId="5" fillId="0" borderId="4" xfId="0" applyNumberFormat="1" applyFont="1" applyFill="1" applyBorder="1"/>
    <xf numFmtId="165" fontId="8" fillId="0" borderId="0" xfId="0" applyNumberFormat="1" applyFont="1" applyFill="1"/>
    <xf numFmtId="165" fontId="3" fillId="0" borderId="0" xfId="0" applyNumberFormat="1" applyFont="1" applyFill="1" applyBorder="1"/>
    <xf numFmtId="165" fontId="14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5" fillId="0" borderId="9" xfId="0" applyNumberFormat="1" applyFont="1" applyBorder="1"/>
    <xf numFmtId="165" fontId="3" fillId="6" borderId="9" xfId="0" applyNumberFormat="1" applyFont="1" applyFill="1" applyBorder="1"/>
    <xf numFmtId="165" fontId="5" fillId="0" borderId="0" xfId="0" applyNumberFormat="1" applyFont="1" applyFill="1" applyBorder="1"/>
    <xf numFmtId="165" fontId="3" fillId="0" borderId="12" xfId="0" applyNumberFormat="1" applyFont="1" applyBorder="1"/>
    <xf numFmtId="165" fontId="3" fillId="6" borderId="12" xfId="0" applyNumberFormat="1" applyFont="1" applyFill="1" applyBorder="1"/>
    <xf numFmtId="165" fontId="3" fillId="0" borderId="12" xfId="0" applyNumberFormat="1" applyFont="1" applyFill="1" applyBorder="1"/>
    <xf numFmtId="165" fontId="5" fillId="0" borderId="12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5" fillId="0" borderId="3" xfId="0" applyNumberFormat="1" applyFont="1" applyFill="1" applyBorder="1"/>
    <xf numFmtId="165" fontId="5" fillId="3" borderId="0" xfId="0" applyNumberFormat="1" applyFont="1" applyFill="1" applyBorder="1"/>
    <xf numFmtId="165" fontId="3" fillId="0" borderId="3" xfId="0" applyNumberFormat="1" applyFont="1" applyBorder="1"/>
    <xf numFmtId="165" fontId="3" fillId="6" borderId="0" xfId="0" applyNumberFormat="1" applyFont="1" applyFill="1" applyBorder="1"/>
    <xf numFmtId="165" fontId="3" fillId="0" borderId="11" xfId="0" applyNumberFormat="1" applyFont="1" applyBorder="1"/>
    <xf numFmtId="165" fontId="3" fillId="6" borderId="11" xfId="0" applyNumberFormat="1" applyFont="1" applyFill="1" applyBorder="1"/>
    <xf numFmtId="165" fontId="5" fillId="0" borderId="11" xfId="0" applyNumberFormat="1" applyFont="1" applyBorder="1"/>
    <xf numFmtId="165" fontId="3" fillId="0" borderId="11" xfId="0" applyNumberFormat="1" applyFont="1" applyFill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5" fillId="0" borderId="10" xfId="0" applyNumberFormat="1" applyFont="1" applyFill="1" applyBorder="1"/>
    <xf numFmtId="170" fontId="5" fillId="3" borderId="0" xfId="0" applyNumberFormat="1" applyFont="1" applyFill="1"/>
    <xf numFmtId="170" fontId="3" fillId="0" borderId="12" xfId="0" applyNumberFormat="1" applyFont="1" applyBorder="1"/>
    <xf numFmtId="170" fontId="3" fillId="6" borderId="12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0" borderId="0" xfId="0" applyNumberFormat="1" applyFont="1" applyBorder="1"/>
    <xf numFmtId="170" fontId="5" fillId="0" borderId="0" xfId="0" applyNumberFormat="1" applyFont="1" applyFill="1" applyBorder="1"/>
    <xf numFmtId="170" fontId="5" fillId="2" borderId="0" xfId="0" applyNumberFormat="1" applyFont="1" applyFill="1" applyBorder="1"/>
    <xf numFmtId="170" fontId="5" fillId="3" borderId="0" xfId="0" applyNumberFormat="1" applyFont="1" applyFill="1" applyBorder="1"/>
    <xf numFmtId="170" fontId="3" fillId="0" borderId="7" xfId="0" applyNumberFormat="1" applyFont="1" applyFill="1" applyBorder="1"/>
    <xf numFmtId="170" fontId="3" fillId="3" borderId="7" xfId="0" applyNumberFormat="1" applyFont="1" applyFill="1" applyBorder="1"/>
    <xf numFmtId="170" fontId="3" fillId="0" borderId="3" xfId="0" applyNumberFormat="1" applyFont="1" applyFill="1" applyBorder="1"/>
    <xf numFmtId="170" fontId="3" fillId="3" borderId="3" xfId="0" applyNumberFormat="1" applyFont="1" applyFill="1" applyBorder="1"/>
    <xf numFmtId="170" fontId="5" fillId="3" borderId="7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3" fillId="0" borderId="0" xfId="0" applyNumberFormat="1" applyFont="1" applyFill="1" applyBorder="1"/>
    <xf numFmtId="170" fontId="5" fillId="6" borderId="0" xfId="0" applyNumberFormat="1" applyFont="1" applyFill="1" applyBorder="1"/>
    <xf numFmtId="170" fontId="5" fillId="0" borderId="3" xfId="0" applyNumberFormat="1" applyFont="1" applyFill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12" xfId="0" applyNumberFormat="1" applyFont="1" applyFill="1" applyBorder="1"/>
    <xf numFmtId="170" fontId="3" fillId="0" borderId="12" xfId="0" applyNumberFormat="1" applyFont="1" applyFill="1" applyBorder="1"/>
    <xf numFmtId="170" fontId="3" fillId="0" borderId="0" xfId="0" applyNumberFormat="1" applyFont="1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Fill="1" applyBorder="1"/>
    <xf numFmtId="166" fontId="3" fillId="0" borderId="0" xfId="2" applyNumberFormat="1" applyFont="1" applyBorder="1" applyAlignment="1">
      <alignment horizontal="right"/>
    </xf>
    <xf numFmtId="166" fontId="3" fillId="6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r>
              <a:rPr lang="da-DK" sz="1400" b="1">
                <a:solidFill>
                  <a:schemeClr val="accent1"/>
                </a:solidFill>
              </a:rPr>
              <a:t>Operational</a:t>
            </a:r>
            <a:r>
              <a:rPr lang="da-DK" sz="1400" b="1" baseline="0">
                <a:solidFill>
                  <a:schemeClr val="accent1"/>
                </a:solidFill>
              </a:rPr>
              <a:t> EBITDA (LTM)</a:t>
            </a:r>
            <a:endParaRPr lang="da-DK" sz="14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1.0431852034905515E-3"/>
          <c:y val="0"/>
        </c:manualLayout>
      </c:layout>
    </c:title>
    <c:plotArea>
      <c:layout>
        <c:manualLayout>
          <c:layoutTarget val="inner"/>
          <c:xMode val="edge"/>
          <c:yMode val="edge"/>
          <c:x val="6.9563564076954312E-2"/>
          <c:y val="0.19058842784244959"/>
          <c:w val="0.86940746580656658"/>
          <c:h val="0.5703721906705026"/>
        </c:manualLayout>
      </c:layout>
      <c:barChart>
        <c:barDir val="col"/>
        <c:grouping val="clustered"/>
        <c:ser>
          <c:idx val="1"/>
          <c:order val="0"/>
          <c:tx>
            <c:strRef>
              <c:f>'Oper EBITDA Graph'!$A$5</c:f>
              <c:strCache>
                <c:ptCount val="1"/>
                <c:pt idx="0">
                  <c:v>Oper. EBITDA LTM EURm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'Oper EBITDA Graph'!$AA$3:$BF$3</c:f>
              <c:strCache>
                <c:ptCount val="32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  <c:pt idx="27">
                  <c:v>Q3-15</c:v>
                </c:pt>
                <c:pt idx="28">
                  <c:v>Q4-15</c:v>
                </c:pt>
                <c:pt idx="30">
                  <c:v>Q1-16</c:v>
                </c:pt>
                <c:pt idx="31">
                  <c:v>Q2-16</c:v>
                </c:pt>
              </c:strCache>
            </c:strRef>
          </c:cat>
          <c:val>
            <c:numRef>
              <c:f>'Oper EBITDA Graph'!$AA$5:$BF$5</c:f>
              <c:numCache>
                <c:formatCode>#,##0;\-#,##0</c:formatCode>
                <c:ptCount val="32"/>
                <c:pt idx="0">
                  <c:v>121.87919463087249</c:v>
                </c:pt>
                <c:pt idx="1">
                  <c:v>122.95302013422818</c:v>
                </c:pt>
                <c:pt idx="2">
                  <c:v>127.65100671140939</c:v>
                </c:pt>
                <c:pt idx="3">
                  <c:v>120.13422818791946</c:v>
                </c:pt>
                <c:pt idx="5">
                  <c:v>116.64429530201342</c:v>
                </c:pt>
                <c:pt idx="6">
                  <c:v>108.45637583892618</c:v>
                </c:pt>
                <c:pt idx="7">
                  <c:v>104.02684563758388</c:v>
                </c:pt>
                <c:pt idx="8">
                  <c:v>117.8523489932886</c:v>
                </c:pt>
                <c:pt idx="10">
                  <c:v>122.68456375838926</c:v>
                </c:pt>
                <c:pt idx="11">
                  <c:v>128.3221476510067</c:v>
                </c:pt>
                <c:pt idx="12">
                  <c:v>131.67785234899327</c:v>
                </c:pt>
                <c:pt idx="13">
                  <c:v>139.46308724832215</c:v>
                </c:pt>
                <c:pt idx="15">
                  <c:v>137.7181208053691</c:v>
                </c:pt>
                <c:pt idx="16">
                  <c:v>143.35570469798657</c:v>
                </c:pt>
                <c:pt idx="17">
                  <c:v>144.02684563758388</c:v>
                </c:pt>
                <c:pt idx="18">
                  <c:v>145.63758389261744</c:v>
                </c:pt>
                <c:pt idx="20">
                  <c:v>150.60402684563758</c:v>
                </c:pt>
                <c:pt idx="21">
                  <c:v>156.51006711409394</c:v>
                </c:pt>
                <c:pt idx="22">
                  <c:v>158.38926174496643</c:v>
                </c:pt>
                <c:pt idx="23">
                  <c:v>170.33557046979865</c:v>
                </c:pt>
                <c:pt idx="25">
                  <c:v>174.2281879194631</c:v>
                </c:pt>
                <c:pt idx="26">
                  <c:v>189.93288590604027</c:v>
                </c:pt>
                <c:pt idx="27">
                  <c:v>190.73825503355704</c:v>
                </c:pt>
                <c:pt idx="28">
                  <c:v>175.23154362416105</c:v>
                </c:pt>
                <c:pt idx="30">
                  <c:v>175.74663758389261</c:v>
                </c:pt>
                <c:pt idx="31">
                  <c:v>169.31576510067114</c:v>
                </c:pt>
              </c:numCache>
            </c:numRef>
          </c:val>
        </c:ser>
        <c:gapWidth val="75"/>
        <c:overlap val="-25"/>
        <c:axId val="112592000"/>
        <c:axId val="112593920"/>
      </c:barChart>
      <c:lineChart>
        <c:grouping val="standard"/>
        <c:ser>
          <c:idx val="0"/>
          <c:order val="1"/>
          <c:tx>
            <c:strRef>
              <c:f>'Oper EBITDA Graph'!$A$6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Graph'!$AA$6:$BF$6</c:f>
              <c:numCache>
                <c:formatCode>0.0%</c:formatCode>
                <c:ptCount val="32"/>
                <c:pt idx="0">
                  <c:v>7.4954597985801563E-2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6.1933430212442055E-2</c:v>
                </c:pt>
                <c:pt idx="5">
                  <c:v>5.7282414167015482E-2</c:v>
                </c:pt>
                <c:pt idx="6">
                  <c:v>5.198147195059187E-2</c:v>
                </c:pt>
                <c:pt idx="7">
                  <c:v>4.9265780942088853E-2</c:v>
                </c:pt>
                <c:pt idx="8">
                  <c:v>5.6267623686234308E-2</c:v>
                </c:pt>
                <c:pt idx="10">
                  <c:v>5.950133454853198E-2</c:v>
                </c:pt>
                <c:pt idx="11">
                  <c:v>6.2692635582661152E-2</c:v>
                </c:pt>
                <c:pt idx="12">
                  <c:v>6.4739655513759639E-2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6.8667605273262503E-2</c:v>
                </c:pt>
                <c:pt idx="18">
                  <c:v>6.8631792017205401E-2</c:v>
                </c:pt>
                <c:pt idx="20">
                  <c:v>6.9409217445097426E-2</c:v>
                </c:pt>
                <c:pt idx="21">
                  <c:v>7.217579696688331E-2</c:v>
                </c:pt>
                <c:pt idx="22">
                  <c:v>7.363954068896654E-2</c:v>
                </c:pt>
                <c:pt idx="23">
                  <c:v>7.9997478408876013E-2</c:v>
                </c:pt>
                <c:pt idx="25">
                  <c:v>8.0311842593738386E-2</c:v>
                </c:pt>
                <c:pt idx="26">
                  <c:v>8.5215296597410423E-2</c:v>
                </c:pt>
                <c:pt idx="27">
                  <c:v>8.5814360770577927E-2</c:v>
                </c:pt>
                <c:pt idx="28">
                  <c:v>7.8807095490916315E-2</c:v>
                </c:pt>
                <c:pt idx="30">
                  <c:v>8.1734100455891273E-2</c:v>
                </c:pt>
                <c:pt idx="31">
                  <c:v>8.0500440026522846E-2</c:v>
                </c:pt>
              </c:numCache>
            </c:numRef>
          </c:val>
        </c:ser>
        <c:ser>
          <c:idx val="2"/>
          <c:order val="2"/>
          <c:tx>
            <c:strRef>
              <c:f>'Oper EBITDA Graph'!$A$7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28575">
              <a:solidFill>
                <a:schemeClr val="tx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Graph'!$AA$7:$BF$7</c:f>
              <c:numCache>
                <c:formatCode>0.0%</c:formatCode>
                <c:ptCount val="32"/>
                <c:pt idx="0">
                  <c:v>8.989208989208991E-2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7.3305804993061663E-2</c:v>
                </c:pt>
                <c:pt idx="6">
                  <c:v>6.7496449753571122E-2</c:v>
                </c:pt>
                <c:pt idx="7">
                  <c:v>6.4288676897552868E-2</c:v>
                </c:pt>
                <c:pt idx="8">
                  <c:v>7.225742737223273E-2</c:v>
                </c:pt>
                <c:pt idx="10">
                  <c:v>7.5574665123201573E-2</c:v>
                </c:pt>
                <c:pt idx="11">
                  <c:v>7.9034391534391513E-2</c:v>
                </c:pt>
                <c:pt idx="12">
                  <c:v>8.1040892193308525E-2</c:v>
                </c:pt>
                <c:pt idx="13">
                  <c:v>8.5528482054659197E-2</c:v>
                </c:pt>
                <c:pt idx="15">
                  <c:v>8.4091467912466175E-2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8.5238927296209063E-2</c:v>
                </c:pt>
                <c:pt idx="21">
                  <c:v>8.8093079480205477E-2</c:v>
                </c:pt>
                <c:pt idx="22">
                  <c:v>8.9157536834151868E-2</c:v>
                </c:pt>
                <c:pt idx="23">
                  <c:v>9.6282245827010629E-2</c:v>
                </c:pt>
                <c:pt idx="25">
                  <c:v>9.6319382606114584E-2</c:v>
                </c:pt>
                <c:pt idx="26">
                  <c:v>0.10236562251320264</c:v>
                </c:pt>
                <c:pt idx="27">
                  <c:v>0.10289645184648806</c:v>
                </c:pt>
                <c:pt idx="28">
                  <c:v>9.374694804933674E-2</c:v>
                </c:pt>
                <c:pt idx="30">
                  <c:v>9.6107083545130742E-2</c:v>
                </c:pt>
                <c:pt idx="31">
                  <c:v>9.3048139446536518E-2</c:v>
                </c:pt>
              </c:numCache>
            </c:numRef>
          </c:val>
        </c:ser>
        <c:marker val="1"/>
        <c:axId val="112612096"/>
        <c:axId val="112613632"/>
      </c:lineChart>
      <c:catAx>
        <c:axId val="11259200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93920"/>
        <c:crosses val="autoZero"/>
        <c:lblAlgn val="ctr"/>
        <c:lblOffset val="100"/>
        <c:tickLblSkip val="1"/>
        <c:tickMarkSkip val="1"/>
      </c:catAx>
      <c:valAx>
        <c:axId val="112593920"/>
        <c:scaling>
          <c:orientation val="minMax"/>
        </c:scaling>
        <c:axPos val="l"/>
        <c:numFmt formatCode="#,##0;\-#,##0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92000"/>
        <c:crosses val="autoZero"/>
        <c:crossBetween val="between"/>
      </c:valAx>
      <c:catAx>
        <c:axId val="112612096"/>
        <c:scaling>
          <c:orientation val="minMax"/>
        </c:scaling>
        <c:delete val="1"/>
        <c:axPos val="b"/>
        <c:tickLblPos val="none"/>
        <c:crossAx val="112613632"/>
        <c:crosses val="autoZero"/>
        <c:lblAlgn val="ctr"/>
        <c:lblOffset val="100"/>
      </c:catAx>
      <c:valAx>
        <c:axId val="112613632"/>
        <c:scaling>
          <c:orientation val="minMax"/>
          <c:max val="0.15000000000000024"/>
          <c:min val="3.0000000000000002E-2"/>
        </c:scaling>
        <c:axPos val="r"/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2096"/>
        <c:crosses val="max"/>
        <c:crossBetween val="between"/>
        <c:majorUnit val="3.0000000000000002E-2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01" r="0.7500000000000101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20</xdr:row>
      <xdr:rowOff>50800</xdr:rowOff>
    </xdr:from>
    <xdr:to>
      <xdr:col>4</xdr:col>
      <xdr:colOff>412750</xdr:colOff>
      <xdr:row>21</xdr:row>
      <xdr:rowOff>88900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289560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180975</xdr:colOff>
      <xdr:row>20</xdr:row>
      <xdr:rowOff>9525</xdr:rowOff>
    </xdr:from>
    <xdr:to>
      <xdr:col>3</xdr:col>
      <xdr:colOff>495300</xdr:colOff>
      <xdr:row>22</xdr:row>
      <xdr:rowOff>50290</xdr:rowOff>
    </xdr:to>
    <xdr:pic>
      <xdr:nvPicPr>
        <xdr:cNvPr id="5" name="Picture 4" descr="NKT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4848225"/>
          <a:ext cx="952500" cy="364615"/>
        </a:xfrm>
        <a:prstGeom prst="rect">
          <a:avLst/>
        </a:prstGeom>
      </xdr:spPr>
    </xdr:pic>
    <xdr:clientData/>
  </xdr:twoCellAnchor>
  <xdr:twoCellAnchor>
    <xdr:from>
      <xdr:col>2</xdr:col>
      <xdr:colOff>228599</xdr:colOff>
      <xdr:row>1</xdr:row>
      <xdr:rowOff>123825</xdr:rowOff>
    </xdr:from>
    <xdr:to>
      <xdr:col>11</xdr:col>
      <xdr:colOff>409574</xdr:colOff>
      <xdr:row>17</xdr:row>
      <xdr:rowOff>133350</xdr:rowOff>
    </xdr:to>
    <xdr:sp macro="" textlink="">
      <xdr:nvSpPr>
        <xdr:cNvPr id="6" name="Rectangle 5"/>
        <xdr:cNvSpPr/>
      </xdr:nvSpPr>
      <xdr:spPr>
        <a:xfrm>
          <a:off x="1504949" y="285750"/>
          <a:ext cx="6505575" cy="4200525"/>
        </a:xfrm>
        <a:prstGeom prst="rect">
          <a:avLst/>
        </a:prstGeom>
        <a:noFill/>
        <a:ln w="127000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283368</xdr:colOff>
      <xdr:row>15</xdr:row>
      <xdr:rowOff>101600</xdr:rowOff>
    </xdr:from>
    <xdr:to>
      <xdr:col>54</xdr:col>
      <xdr:colOff>584200</xdr:colOff>
      <xdr:row>41</xdr:row>
      <xdr:rowOff>37306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368300</xdr:colOff>
      <xdr:row>17</xdr:row>
      <xdr:rowOff>117475</xdr:rowOff>
    </xdr:from>
    <xdr:to>
      <xdr:col>54</xdr:col>
      <xdr:colOff>539750</xdr:colOff>
      <xdr:row>17</xdr:row>
      <xdr:rowOff>127000</xdr:rowOff>
    </xdr:to>
    <xdr:cxnSp macro="">
      <xdr:nvCxnSpPr>
        <xdr:cNvPr id="4" name="Straight Connector 3"/>
        <xdr:cNvCxnSpPr/>
      </xdr:nvCxnSpPr>
      <xdr:spPr>
        <a:xfrm flipV="1">
          <a:off x="25850850" y="2917825"/>
          <a:ext cx="6927850" cy="9525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212725</xdr:colOff>
      <xdr:row>41</xdr:row>
      <xdr:rowOff>63501</xdr:rowOff>
    </xdr:from>
    <xdr:to>
      <xdr:col>59</xdr:col>
      <xdr:colOff>565150</xdr:colOff>
      <xdr:row>41</xdr:row>
      <xdr:rowOff>69850</xdr:rowOff>
    </xdr:to>
    <xdr:cxnSp macro="">
      <xdr:nvCxnSpPr>
        <xdr:cNvPr id="5" name="Straight Connector 4"/>
        <xdr:cNvCxnSpPr/>
      </xdr:nvCxnSpPr>
      <xdr:spPr>
        <a:xfrm>
          <a:off x="22926675" y="6673851"/>
          <a:ext cx="12646025" cy="6349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0.10886</cdr:y>
    </cdr:from>
    <cdr:to>
      <cdr:x>0.07524</cdr:x>
      <cdr:y>0.16423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2321"/>
          <a:ext cx="530979" cy="224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900" b="1" dirty="0"/>
            <a:t>EURm</a:t>
          </a:r>
          <a:endParaRPr lang="en-US" sz="1000" b="1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">
      <a:dk1>
        <a:srgbClr val="0C0C0C"/>
      </a:dk1>
      <a:lt1>
        <a:srgbClr val="FEFEFE"/>
      </a:lt1>
      <a:dk2>
        <a:srgbClr val="BAA88D"/>
      </a:dk2>
      <a:lt2>
        <a:srgbClr val="FEFEFE"/>
      </a:lt2>
      <a:accent1>
        <a:srgbClr val="007FC5"/>
      </a:accent1>
      <a:accent2>
        <a:srgbClr val="0F4694"/>
      </a:accent2>
      <a:accent3>
        <a:srgbClr val="F79340"/>
      </a:accent3>
      <a:accent4>
        <a:srgbClr val="EE2C3C"/>
      </a:accent4>
      <a:accent5>
        <a:srgbClr val="7F4196"/>
      </a:accent5>
      <a:accent6>
        <a:srgbClr val="00BBC1"/>
      </a:accent6>
      <a:hlink>
        <a:srgbClr val="007FC5"/>
      </a:hlink>
      <a:folHlink>
        <a:srgbClr val="00000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W31"/>
  <sheetViews>
    <sheetView showGridLines="0" tabSelected="1" zoomScaleNormal="100" workbookViewId="0">
      <selection activeCell="M44" sqref="M44"/>
    </sheetView>
  </sheetViews>
  <sheetFormatPr defaultColWidth="9.140625" defaultRowHeight="12.75"/>
  <cols>
    <col min="1" max="10" width="9.140625" style="2"/>
    <col min="11" max="11" width="17.42578125" style="2" customWidth="1"/>
    <col min="12" max="16384" width="9.140625" style="2"/>
  </cols>
  <sheetData>
    <row r="9" spans="3:12" ht="44.25">
      <c r="D9" s="228" t="s">
        <v>34</v>
      </c>
      <c r="E9" s="228"/>
      <c r="F9" s="228"/>
      <c r="G9" s="228"/>
      <c r="H9" s="228"/>
      <c r="I9" s="228"/>
      <c r="J9" s="228"/>
      <c r="K9" s="228"/>
    </row>
    <row r="10" spans="3:12" ht="44.25">
      <c r="D10" s="228" t="s">
        <v>153</v>
      </c>
      <c r="E10" s="228"/>
      <c r="F10" s="228"/>
      <c r="G10" s="228"/>
      <c r="H10" s="228"/>
      <c r="I10" s="228"/>
      <c r="J10" s="228"/>
      <c r="K10" s="228"/>
    </row>
    <row r="11" spans="3:12" ht="44.25">
      <c r="D11" s="228" t="s">
        <v>213</v>
      </c>
      <c r="E11" s="228"/>
      <c r="F11" s="228"/>
      <c r="G11" s="228"/>
      <c r="H11" s="228"/>
      <c r="I11" s="228"/>
      <c r="J11" s="228"/>
      <c r="K11" s="228"/>
    </row>
    <row r="12" spans="3:12" ht="44.25">
      <c r="D12" s="228" t="s">
        <v>38</v>
      </c>
      <c r="E12" s="228"/>
      <c r="F12" s="228"/>
      <c r="G12" s="228"/>
      <c r="H12" s="228"/>
      <c r="I12" s="228"/>
      <c r="J12" s="228"/>
      <c r="K12" s="228"/>
      <c r="L12" s="41"/>
    </row>
    <row r="13" spans="3:12" ht="12.75" customHeight="1">
      <c r="L13" s="41"/>
    </row>
    <row r="14" spans="3:12" ht="12.75" customHeight="1">
      <c r="C14" s="42" t="s">
        <v>54</v>
      </c>
    </row>
    <row r="15" spans="3:12" ht="12.75" customHeight="1">
      <c r="C15" s="42" t="s">
        <v>54</v>
      </c>
    </row>
    <row r="21" spans="3:23">
      <c r="E21" s="5" t="s">
        <v>106</v>
      </c>
    </row>
    <row r="22" spans="3:23">
      <c r="E22" s="43" t="s">
        <v>141</v>
      </c>
    </row>
    <row r="23" spans="3:23">
      <c r="E23" s="43" t="s">
        <v>171</v>
      </c>
    </row>
    <row r="24" spans="3:23">
      <c r="E24" s="2" t="s">
        <v>79</v>
      </c>
    </row>
    <row r="25" spans="3:23">
      <c r="E25" s="2" t="s">
        <v>142</v>
      </c>
    </row>
    <row r="29" spans="3:23">
      <c r="C29" s="2" t="s">
        <v>54</v>
      </c>
    </row>
    <row r="30" spans="3:23">
      <c r="U30" s="9"/>
      <c r="V30" s="24"/>
      <c r="W30" s="24"/>
    </row>
    <row r="31" spans="3:23">
      <c r="U31" s="9"/>
      <c r="V31" s="9"/>
      <c r="W31" s="9"/>
    </row>
  </sheetData>
  <mergeCells count="4">
    <mergeCell ref="D12:K12"/>
    <mergeCell ref="D9:K9"/>
    <mergeCell ref="D10:K10"/>
    <mergeCell ref="D11:K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50"/>
  <sheetViews>
    <sheetView showGridLines="0" zoomScaleNormal="100" zoomScaleSheetLayoutView="75" workbookViewId="0">
      <pane xSplit="1" ySplit="3" topLeftCell="AX16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BO60" sqref="BO60"/>
    </sheetView>
  </sheetViews>
  <sheetFormatPr defaultColWidth="9.140625" defaultRowHeight="12.75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16384" width="9.140625" style="2"/>
  </cols>
  <sheetData>
    <row r="1" spans="1:75">
      <c r="C1" s="230" t="s">
        <v>80</v>
      </c>
      <c r="D1" s="230"/>
      <c r="E1" s="230"/>
      <c r="F1" s="230"/>
      <c r="G1" s="230"/>
      <c r="I1" s="230" t="s">
        <v>80</v>
      </c>
      <c r="J1" s="230"/>
      <c r="K1" s="230"/>
      <c r="L1" s="230"/>
      <c r="M1" s="230"/>
      <c r="O1" s="230" t="s">
        <v>80</v>
      </c>
      <c r="P1" s="230"/>
      <c r="Q1" s="230"/>
      <c r="R1" s="230"/>
      <c r="S1" s="230"/>
      <c r="U1" s="230" t="s">
        <v>80</v>
      </c>
      <c r="V1" s="230"/>
      <c r="W1" s="230"/>
      <c r="X1" s="230"/>
      <c r="Y1" s="230"/>
      <c r="AA1" s="230" t="s">
        <v>80</v>
      </c>
      <c r="AB1" s="230"/>
      <c r="AC1" s="230"/>
      <c r="AD1" s="230"/>
      <c r="AE1" s="230"/>
      <c r="AG1" s="230" t="s">
        <v>80</v>
      </c>
      <c r="AH1" s="230"/>
      <c r="AI1" s="230"/>
      <c r="AJ1" s="230"/>
      <c r="AK1" s="230"/>
      <c r="AM1" s="230" t="s">
        <v>80</v>
      </c>
      <c r="AN1" s="230"/>
      <c r="AO1" s="230"/>
      <c r="AP1" s="230"/>
      <c r="AQ1" s="230"/>
      <c r="AS1" s="230" t="s">
        <v>80</v>
      </c>
      <c r="AT1" s="230"/>
      <c r="AU1" s="230"/>
      <c r="AV1" s="230"/>
      <c r="AW1" s="230"/>
      <c r="AY1" s="230" t="s">
        <v>80</v>
      </c>
      <c r="AZ1" s="230"/>
      <c r="BA1" s="230"/>
      <c r="BB1" s="230"/>
      <c r="BC1" s="230"/>
      <c r="BE1" s="230" t="s">
        <v>80</v>
      </c>
      <c r="BF1" s="230"/>
      <c r="BG1" s="230"/>
      <c r="BH1" s="230"/>
      <c r="BI1" s="230"/>
      <c r="BK1" s="230" t="s">
        <v>80</v>
      </c>
      <c r="BL1" s="230"/>
      <c r="BM1" s="230"/>
      <c r="BN1" s="230"/>
      <c r="BO1" s="230"/>
      <c r="BQ1" s="230" t="s">
        <v>80</v>
      </c>
      <c r="BR1" s="230"/>
      <c r="BS1" s="230"/>
      <c r="BT1" s="230"/>
      <c r="BU1" s="230"/>
    </row>
    <row r="2" spans="1:75">
      <c r="A2" s="1" t="s">
        <v>34</v>
      </c>
      <c r="C2" s="229">
        <v>2005</v>
      </c>
      <c r="D2" s="229"/>
      <c r="E2" s="229"/>
      <c r="F2" s="229"/>
      <c r="G2" s="229"/>
      <c r="I2" s="229">
        <v>2006</v>
      </c>
      <c r="J2" s="229"/>
      <c r="K2" s="229"/>
      <c r="L2" s="229"/>
      <c r="M2" s="229"/>
      <c r="O2" s="229">
        <v>2007</v>
      </c>
      <c r="P2" s="229"/>
      <c r="Q2" s="229"/>
      <c r="R2" s="229"/>
      <c r="S2" s="229"/>
      <c r="U2" s="229">
        <v>2008</v>
      </c>
      <c r="V2" s="229"/>
      <c r="W2" s="229"/>
      <c r="X2" s="229"/>
      <c r="Y2" s="229"/>
      <c r="AA2" s="229">
        <v>2009</v>
      </c>
      <c r="AB2" s="229"/>
      <c r="AC2" s="229"/>
      <c r="AD2" s="229"/>
      <c r="AE2" s="229"/>
      <c r="AG2" s="229">
        <v>2010</v>
      </c>
      <c r="AH2" s="229"/>
      <c r="AI2" s="229"/>
      <c r="AJ2" s="229"/>
      <c r="AK2" s="229"/>
      <c r="AM2" s="229">
        <v>2011</v>
      </c>
      <c r="AN2" s="229"/>
      <c r="AO2" s="229"/>
      <c r="AP2" s="229"/>
      <c r="AQ2" s="229"/>
      <c r="AS2" s="229">
        <v>2012</v>
      </c>
      <c r="AT2" s="229"/>
      <c r="AU2" s="229"/>
      <c r="AV2" s="229"/>
      <c r="AW2" s="229"/>
      <c r="AY2" s="229">
        <v>2013</v>
      </c>
      <c r="AZ2" s="229"/>
      <c r="BA2" s="229"/>
      <c r="BB2" s="229"/>
      <c r="BC2" s="229"/>
      <c r="BE2" s="229">
        <v>2014</v>
      </c>
      <c r="BF2" s="229"/>
      <c r="BG2" s="229"/>
      <c r="BH2" s="229"/>
      <c r="BI2" s="229"/>
      <c r="BK2" s="229">
        <v>2015</v>
      </c>
      <c r="BL2" s="229"/>
      <c r="BM2" s="229"/>
      <c r="BN2" s="229"/>
      <c r="BO2" s="229"/>
      <c r="BQ2" s="229">
        <v>2016</v>
      </c>
      <c r="BR2" s="229"/>
      <c r="BS2" s="229"/>
      <c r="BT2" s="229"/>
      <c r="BU2" s="229"/>
    </row>
    <row r="3" spans="1:75" s="59" customFormat="1" ht="13.5" thickBot="1">
      <c r="A3" s="57" t="s">
        <v>176</v>
      </c>
      <c r="C3" s="58" t="s">
        <v>10</v>
      </c>
      <c r="D3" s="58" t="s">
        <v>11</v>
      </c>
      <c r="E3" s="58" t="s">
        <v>12</v>
      </c>
      <c r="F3" s="58" t="s">
        <v>13</v>
      </c>
      <c r="G3" s="58" t="s">
        <v>14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O3" s="58" t="s">
        <v>10</v>
      </c>
      <c r="P3" s="58" t="s">
        <v>11</v>
      </c>
      <c r="Q3" s="58" t="s">
        <v>12</v>
      </c>
      <c r="R3" s="58" t="s">
        <v>13</v>
      </c>
      <c r="S3" s="58" t="s">
        <v>14</v>
      </c>
      <c r="U3" s="58" t="s">
        <v>10</v>
      </c>
      <c r="V3" s="58" t="s">
        <v>11</v>
      </c>
      <c r="W3" s="58" t="s">
        <v>12</v>
      </c>
      <c r="X3" s="58" t="s">
        <v>13</v>
      </c>
      <c r="Y3" s="58" t="s">
        <v>14</v>
      </c>
      <c r="AA3" s="58" t="s">
        <v>10</v>
      </c>
      <c r="AB3" s="58" t="s">
        <v>11</v>
      </c>
      <c r="AC3" s="58" t="s">
        <v>12</v>
      </c>
      <c r="AD3" s="58" t="s">
        <v>13</v>
      </c>
      <c r="AE3" s="58" t="s">
        <v>14</v>
      </c>
      <c r="AG3" s="58" t="s">
        <v>10</v>
      </c>
      <c r="AH3" s="58" t="s">
        <v>11</v>
      </c>
      <c r="AI3" s="58" t="s">
        <v>12</v>
      </c>
      <c r="AJ3" s="58" t="s">
        <v>13</v>
      </c>
      <c r="AK3" s="58" t="s">
        <v>14</v>
      </c>
      <c r="AM3" s="58" t="s">
        <v>10</v>
      </c>
      <c r="AN3" s="58" t="s">
        <v>11</v>
      </c>
      <c r="AO3" s="58" t="s">
        <v>12</v>
      </c>
      <c r="AP3" s="58" t="s">
        <v>13</v>
      </c>
      <c r="AQ3" s="58" t="s">
        <v>14</v>
      </c>
      <c r="AS3" s="58" t="s">
        <v>10</v>
      </c>
      <c r="AT3" s="58" t="s">
        <v>11</v>
      </c>
      <c r="AU3" s="58" t="s">
        <v>12</v>
      </c>
      <c r="AV3" s="58" t="s">
        <v>13</v>
      </c>
      <c r="AW3" s="58" t="s">
        <v>14</v>
      </c>
      <c r="AY3" s="58" t="s">
        <v>10</v>
      </c>
      <c r="AZ3" s="58" t="s">
        <v>11</v>
      </c>
      <c r="BA3" s="58" t="s">
        <v>12</v>
      </c>
      <c r="BB3" s="58" t="s">
        <v>13</v>
      </c>
      <c r="BC3" s="58" t="s">
        <v>14</v>
      </c>
      <c r="BE3" s="58" t="s">
        <v>10</v>
      </c>
      <c r="BF3" s="58" t="s">
        <v>11</v>
      </c>
      <c r="BG3" s="58" t="s">
        <v>12</v>
      </c>
      <c r="BH3" s="58" t="s">
        <v>13</v>
      </c>
      <c r="BI3" s="58" t="s">
        <v>14</v>
      </c>
      <c r="BK3" s="58" t="s">
        <v>10</v>
      </c>
      <c r="BL3" s="58" t="s">
        <v>11</v>
      </c>
      <c r="BM3" s="58" t="s">
        <v>12</v>
      </c>
      <c r="BN3" s="58" t="s">
        <v>13</v>
      </c>
      <c r="BO3" s="58" t="s">
        <v>14</v>
      </c>
      <c r="BQ3" s="58" t="s">
        <v>10</v>
      </c>
      <c r="BR3" s="58" t="s">
        <v>11</v>
      </c>
      <c r="BS3" s="58" t="s">
        <v>12</v>
      </c>
      <c r="BT3" s="58" t="s">
        <v>13</v>
      </c>
      <c r="BU3" s="58" t="s">
        <v>14</v>
      </c>
    </row>
    <row r="4" spans="1:75" ht="13.5" thickTop="1">
      <c r="G4" s="46"/>
      <c r="M4" s="46"/>
      <c r="S4" s="46"/>
      <c r="Y4" s="46"/>
      <c r="AE4" s="46"/>
      <c r="AK4" s="46"/>
      <c r="AQ4" s="46"/>
      <c r="AW4" s="46"/>
      <c r="BC4" s="46"/>
      <c r="BI4" s="46"/>
      <c r="BO4" s="46"/>
      <c r="BU4" s="46"/>
    </row>
    <row r="5" spans="1:75" s="52" customFormat="1" ht="18.75" customHeight="1">
      <c r="A5" s="52" t="s">
        <v>206</v>
      </c>
      <c r="C5" s="114">
        <v>250.46979865771812</v>
      </c>
      <c r="D5" s="114">
        <v>307.65100671140937</v>
      </c>
      <c r="E5" s="114">
        <v>299.46308724832215</v>
      </c>
      <c r="F5" s="114">
        <v>316.91275167785233</v>
      </c>
      <c r="G5" s="115">
        <f>SUM(C5:F5)</f>
        <v>1174.4966442953021</v>
      </c>
      <c r="H5" s="114"/>
      <c r="I5" s="114">
        <v>323.75838926174498</v>
      </c>
      <c r="J5" s="114">
        <f>('Segment Data'!J13)/7.45</f>
        <v>51.114814647988837</v>
      </c>
      <c r="K5" s="114">
        <v>362.81879194630869</v>
      </c>
      <c r="L5" s="114">
        <v>384.29530201342283</v>
      </c>
      <c r="M5" s="115">
        <f>SUM(I5:L5)</f>
        <v>1121.9872978694652</v>
      </c>
      <c r="N5" s="114"/>
      <c r="O5" s="114">
        <v>420.13422818791946</v>
      </c>
      <c r="P5" s="114">
        <v>484.83221476510067</v>
      </c>
      <c r="Q5" s="114">
        <v>450.46979865771812</v>
      </c>
      <c r="R5" s="114">
        <v>460</v>
      </c>
      <c r="S5" s="115">
        <f>SUM(O5:R5)</f>
        <v>1815.4362416107383</v>
      </c>
      <c r="T5" s="114"/>
      <c r="U5" s="114">
        <v>451.81208053691273</v>
      </c>
      <c r="V5" s="114">
        <v>508.59060402684565</v>
      </c>
      <c r="W5" s="114">
        <v>473.55704697986579</v>
      </c>
      <c r="X5" s="114">
        <v>422.14765100671138</v>
      </c>
      <c r="Y5" s="115">
        <f>SUM(U5:X5)</f>
        <v>1856.1073825503356</v>
      </c>
      <c r="Z5" s="114"/>
      <c r="AA5" s="114">
        <v>353.69127516778525</v>
      </c>
      <c r="AB5" s="114">
        <v>422.01342281879192</v>
      </c>
      <c r="AC5" s="114">
        <v>400.13422818791946</v>
      </c>
      <c r="AD5" s="114">
        <v>392.88590604026842</v>
      </c>
      <c r="AE5" s="115">
        <f>SUM(AA5:AD5)</f>
        <v>1568.7248322147652</v>
      </c>
      <c r="AF5" s="114"/>
      <c r="AG5" s="114">
        <v>411.00671140939596</v>
      </c>
      <c r="AH5" s="114">
        <v>487.91946308724829</v>
      </c>
      <c r="AI5" s="114">
        <v>500</v>
      </c>
      <c r="AJ5" s="114">
        <v>540.80536912751677</v>
      </c>
      <c r="AK5" s="115">
        <f>SUM(AG5:AJ5)</f>
        <v>1939.7315436241611</v>
      </c>
      <c r="AL5" s="114"/>
      <c r="AM5" s="114">
        <v>506.57718120805367</v>
      </c>
      <c r="AN5" s="114">
        <v>539.06040268456377</v>
      </c>
      <c r="AO5" s="114">
        <v>525.10067114093954</v>
      </c>
      <c r="AP5" s="114">
        <v>523.75838926174492</v>
      </c>
      <c r="AQ5" s="115">
        <f>SUM(AM5:AP5)</f>
        <v>2094.4966442953018</v>
      </c>
      <c r="AR5" s="114"/>
      <c r="AS5" s="114">
        <v>473.95973154362417</v>
      </c>
      <c r="AT5" s="114">
        <v>524.02684563758385</v>
      </c>
      <c r="AU5" s="114">
        <v>512.21476510067112</v>
      </c>
      <c r="AV5" s="114">
        <v>537.18120805369131</v>
      </c>
      <c r="AW5" s="115">
        <f>SUM(AS5:AV5)</f>
        <v>2047.3825503355704</v>
      </c>
      <c r="AX5" s="114"/>
      <c r="AY5" s="114">
        <v>471.00671140939596</v>
      </c>
      <c r="AZ5" s="114">
        <v>542.01342281879192</v>
      </c>
      <c r="BA5" s="114">
        <v>547.24832214765104</v>
      </c>
      <c r="BB5" s="114">
        <v>561.744966442953</v>
      </c>
      <c r="BC5" s="115">
        <f>SUM(AY5:BB5)</f>
        <v>2122.0134228187917</v>
      </c>
      <c r="BD5" s="114"/>
      <c r="BE5" s="114">
        <v>518.79194630872485</v>
      </c>
      <c r="BF5" s="114">
        <v>540.67114093959731</v>
      </c>
      <c r="BG5" s="114">
        <v>529.66442953020135</v>
      </c>
      <c r="BH5" s="114">
        <v>540.13422818791946</v>
      </c>
      <c r="BI5" s="115">
        <f>SUM(BE5:BH5)</f>
        <v>2129.2617449664431</v>
      </c>
      <c r="BJ5" s="114"/>
      <c r="BK5" s="114">
        <v>558.92617449664431</v>
      </c>
      <c r="BL5" s="114">
        <v>600.13422818791946</v>
      </c>
      <c r="BM5" s="114">
        <v>523.489932885906</v>
      </c>
      <c r="BN5" s="114">
        <f>+'Segment Data'!BN13</f>
        <v>541.00000000000011</v>
      </c>
      <c r="BO5" s="115">
        <f>SUM(BK5:BN5)</f>
        <v>2223.55033557047</v>
      </c>
      <c r="BP5" s="114"/>
      <c r="BQ5" s="114">
        <f>+'Segment Data'!BQ13</f>
        <v>485.59999999999997</v>
      </c>
      <c r="BR5" s="114">
        <v>553.20000000000005</v>
      </c>
      <c r="BS5" s="114"/>
      <c r="BT5" s="114"/>
      <c r="BU5" s="115">
        <f>SUM(BQ5:BT5)</f>
        <v>1038.8</v>
      </c>
    </row>
    <row r="6" spans="1:75" ht="6" customHeight="1">
      <c r="C6" s="7"/>
      <c r="D6" s="7"/>
      <c r="E6" s="7"/>
      <c r="F6" s="7"/>
      <c r="G6" s="47"/>
      <c r="I6" s="31"/>
      <c r="J6" s="31"/>
      <c r="K6" s="31"/>
      <c r="L6" s="31"/>
      <c r="M6" s="116"/>
      <c r="O6" s="7"/>
      <c r="P6" s="7"/>
      <c r="Q6" s="7"/>
      <c r="R6" s="7"/>
      <c r="S6" s="47"/>
      <c r="U6" s="7"/>
      <c r="V6" s="7"/>
      <c r="W6" s="7"/>
      <c r="X6" s="7"/>
      <c r="Y6" s="47"/>
      <c r="AA6" s="7"/>
      <c r="AB6" s="7"/>
      <c r="AC6" s="7"/>
      <c r="AD6" s="7"/>
      <c r="AE6" s="47"/>
      <c r="AG6" s="7"/>
      <c r="AH6" s="7"/>
      <c r="AI6" s="7"/>
      <c r="AJ6" s="7"/>
      <c r="AK6" s="47"/>
      <c r="AM6" s="7"/>
      <c r="AN6" s="7"/>
      <c r="AO6" s="7"/>
      <c r="AP6" s="7"/>
      <c r="AQ6" s="47"/>
      <c r="AS6" s="7"/>
      <c r="AT6" s="7"/>
      <c r="AU6" s="7"/>
      <c r="AV6" s="7"/>
      <c r="AW6" s="47"/>
      <c r="AY6" s="7"/>
      <c r="AZ6" s="7"/>
      <c r="BA6" s="7"/>
      <c r="BB6" s="7"/>
      <c r="BC6" s="47"/>
      <c r="BE6" s="7"/>
      <c r="BF6" s="7"/>
      <c r="BG6" s="7"/>
      <c r="BH6" s="7"/>
      <c r="BI6" s="47"/>
      <c r="BK6" s="7"/>
      <c r="BL6" s="7"/>
      <c r="BM6" s="7"/>
      <c r="BN6" s="7"/>
      <c r="BO6" s="47"/>
      <c r="BQ6" s="7"/>
      <c r="BR6" s="7"/>
      <c r="BS6" s="7"/>
      <c r="BT6" s="7"/>
      <c r="BU6" s="47"/>
    </row>
    <row r="7" spans="1:75" s="5" customFormat="1" ht="18.75" customHeight="1">
      <c r="A7" s="5" t="s">
        <v>1</v>
      </c>
      <c r="C7" s="117">
        <v>16.778523489932887</v>
      </c>
      <c r="D7" s="117">
        <v>23.355704697986578</v>
      </c>
      <c r="E7" s="117">
        <v>25.503355704697984</v>
      </c>
      <c r="F7" s="117">
        <v>30.067114093959731</v>
      </c>
      <c r="G7" s="116">
        <f>SUM(C7:F7)</f>
        <v>95.704697986577173</v>
      </c>
      <c r="H7" s="117"/>
      <c r="I7" s="117">
        <v>23.624161073825501</v>
      </c>
      <c r="J7" s="117">
        <v>50.067114093959731</v>
      </c>
      <c r="K7" s="117">
        <v>34.228187919463089</v>
      </c>
      <c r="L7" s="117">
        <v>29.261744966442951</v>
      </c>
      <c r="M7" s="116">
        <f>SUM(I7:L7)</f>
        <v>137.18120805369128</v>
      </c>
      <c r="N7" s="117"/>
      <c r="O7" s="117">
        <v>34.36241610738255</v>
      </c>
      <c r="P7" s="117">
        <v>53.288590604026844</v>
      </c>
      <c r="Q7" s="117">
        <v>44.697986577181204</v>
      </c>
      <c r="R7" s="117">
        <v>60</v>
      </c>
      <c r="S7" s="116">
        <f>SUM(O7:R7)</f>
        <v>192.34899328859061</v>
      </c>
      <c r="T7" s="117"/>
      <c r="U7" s="117">
        <v>40.939597315436238</v>
      </c>
      <c r="V7" s="117">
        <v>61.879194630872483</v>
      </c>
      <c r="W7" s="117">
        <v>44.161073825503358</v>
      </c>
      <c r="X7" s="117">
        <v>16.51006711409396</v>
      </c>
      <c r="Y7" s="116">
        <f>SUM(U7:X7)</f>
        <v>163.48993288590606</v>
      </c>
      <c r="Z7" s="117"/>
      <c r="AA7" s="117">
        <v>17.04697986577181</v>
      </c>
      <c r="AB7" s="117">
        <v>31.812080536912752</v>
      </c>
      <c r="AC7" s="117">
        <v>30.201342281879192</v>
      </c>
      <c r="AD7" s="117">
        <v>26.040268456375838</v>
      </c>
      <c r="AE7" s="116">
        <f>SUM(AA7:AD7)</f>
        <v>105.1006711409396</v>
      </c>
      <c r="AF7" s="117"/>
      <c r="AG7" s="117">
        <v>28.590604026845636</v>
      </c>
      <c r="AH7" s="117">
        <v>34.630872483221474</v>
      </c>
      <c r="AI7" s="117">
        <v>33.557046979865774</v>
      </c>
      <c r="AJ7" s="117">
        <v>23.892617449664428</v>
      </c>
      <c r="AK7" s="116">
        <f>SUM(AG7:AJ7)</f>
        <v>120.67114093959731</v>
      </c>
      <c r="AL7" s="117"/>
      <c r="AM7" s="117">
        <v>28.993288590604028</v>
      </c>
      <c r="AN7" s="117">
        <v>28.187919463087248</v>
      </c>
      <c r="AO7" s="117">
        <v>41.879194630872483</v>
      </c>
      <c r="AP7" s="117">
        <v>35.570469798657719</v>
      </c>
      <c r="AQ7" s="116">
        <f>SUM(AM7:AP7)</f>
        <v>134.63087248322148</v>
      </c>
      <c r="AR7" s="117"/>
      <c r="AS7" s="117">
        <v>30.604026845637584</v>
      </c>
      <c r="AT7" s="117">
        <v>30.738255033557046</v>
      </c>
      <c r="AU7" s="117">
        <v>32.080536912751676</v>
      </c>
      <c r="AV7" s="117">
        <v>42.013422818791945</v>
      </c>
      <c r="AW7" s="116">
        <f>SUM(AS7:AV7)</f>
        <v>135.43624161073825</v>
      </c>
      <c r="AX7" s="117"/>
      <c r="AY7" s="117">
        <v>29.127516778523489</v>
      </c>
      <c r="AZ7" s="117">
        <v>37.449664429530202</v>
      </c>
      <c r="BA7" s="117">
        <v>32.348993288590606</v>
      </c>
      <c r="BB7" s="117">
        <v>49.127516778523486</v>
      </c>
      <c r="BC7" s="116">
        <f>SUM(AY7:BB7)</f>
        <v>148.05369127516778</v>
      </c>
      <c r="BD7" s="117"/>
      <c r="BE7" s="117">
        <v>39.73154362416107</v>
      </c>
      <c r="BF7" s="117">
        <v>29.798657718120804</v>
      </c>
      <c r="BG7" s="117">
        <v>30.335570469798657</v>
      </c>
      <c r="BH7" s="117">
        <v>42.550335570469798</v>
      </c>
      <c r="BI7" s="116">
        <f>SUM(BE7:BH7)</f>
        <v>142.41610738255031</v>
      </c>
      <c r="BJ7" s="117"/>
      <c r="BK7" s="117">
        <v>32.885906040268459</v>
      </c>
      <c r="BL7" s="117">
        <v>54.630872483221474</v>
      </c>
      <c r="BM7" s="117">
        <v>32.214765100671137</v>
      </c>
      <c r="BN7" s="117">
        <v>32.299999999999997</v>
      </c>
      <c r="BO7" s="116">
        <f>SUM(BK7:BN7)</f>
        <v>152.03154362416109</v>
      </c>
      <c r="BP7" s="117"/>
      <c r="BQ7" s="117">
        <f>+'Segment Data'!BQ38</f>
        <v>35.900999999999996</v>
      </c>
      <c r="BR7" s="117">
        <v>50.8</v>
      </c>
      <c r="BS7" s="117"/>
      <c r="BT7" s="117"/>
      <c r="BU7" s="116">
        <f>SUM(BQ7:BT7)</f>
        <v>86.700999999999993</v>
      </c>
      <c r="BV7" s="117"/>
      <c r="BW7" s="117"/>
    </row>
    <row r="8" spans="1:75">
      <c r="A8" s="2" t="s">
        <v>51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116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116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116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116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116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116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126">
        <v>-11.812080536912751</v>
      </c>
      <c r="AQ8" s="116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126">
        <v>-12.885906040268456</v>
      </c>
      <c r="AW8" s="116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126">
        <v>-12.080536912751677</v>
      </c>
      <c r="BC8" s="116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126">
        <v>-12.617449664429531</v>
      </c>
      <c r="BI8" s="116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126">
        <v>-12.3</v>
      </c>
      <c r="BO8" s="116">
        <f>SUM(BK8:BN8)</f>
        <v>-49.078523489932877</v>
      </c>
      <c r="BP8" s="31"/>
      <c r="BQ8" s="31">
        <v>-11.7</v>
      </c>
      <c r="BR8" s="31">
        <v>-12</v>
      </c>
      <c r="BS8" s="31"/>
      <c r="BT8" s="126"/>
      <c r="BU8" s="116">
        <f>SUM(BQ8:BT8)</f>
        <v>-23.7</v>
      </c>
      <c r="BV8" s="31"/>
      <c r="BW8" s="31"/>
    </row>
    <row r="9" spans="1:75">
      <c r="A9" s="2" t="s">
        <v>154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116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116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116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116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116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116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126">
        <v>-5.6375838926174495</v>
      </c>
      <c r="AQ9" s="116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126">
        <v>-5.6375838926174495</v>
      </c>
      <c r="AW9" s="116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126">
        <v>-5.9060402684563753</v>
      </c>
      <c r="BC9" s="116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126">
        <f>(136-178)/7.45</f>
        <v>-5.6375838926174495</v>
      </c>
      <c r="BI9" s="116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126">
        <v>-7.3</v>
      </c>
      <c r="BO9" s="116">
        <f>SUM(BK9:BN9)</f>
        <v>-27.836912751677854</v>
      </c>
      <c r="BP9" s="31"/>
      <c r="BQ9" s="31">
        <v>-8</v>
      </c>
      <c r="BR9" s="31">
        <v>-8.5</v>
      </c>
      <c r="BS9" s="31"/>
      <c r="BT9" s="126"/>
      <c r="BU9" s="116">
        <f>SUM(BQ9:BT9)</f>
        <v>-16.5</v>
      </c>
      <c r="BV9" s="31"/>
      <c r="BW9" s="31"/>
    </row>
    <row r="10" spans="1:75" s="60" customFormat="1">
      <c r="A10" s="60" t="s">
        <v>159</v>
      </c>
      <c r="C10" s="118">
        <v>0</v>
      </c>
      <c r="D10" s="118"/>
      <c r="E10" s="118"/>
      <c r="F10" s="118"/>
      <c r="G10" s="119">
        <f>SUM(C10:F10)</f>
        <v>0</v>
      </c>
      <c r="H10" s="118"/>
      <c r="I10" s="118"/>
      <c r="J10" s="118"/>
      <c r="K10" s="118"/>
      <c r="L10" s="118"/>
      <c r="M10" s="119">
        <f>SUM(I10:L10)</f>
        <v>0</v>
      </c>
      <c r="N10" s="118"/>
      <c r="O10" s="118"/>
      <c r="P10" s="118"/>
      <c r="Q10" s="118"/>
      <c r="R10" s="118"/>
      <c r="S10" s="119">
        <f>SUM(O10:R10)</f>
        <v>0</v>
      </c>
      <c r="T10" s="118"/>
      <c r="U10" s="118">
        <v>0</v>
      </c>
      <c r="V10" s="118">
        <v>0</v>
      </c>
      <c r="W10" s="118">
        <v>0</v>
      </c>
      <c r="X10" s="118">
        <v>-7.1140939597315436</v>
      </c>
      <c r="Y10" s="119">
        <f>SUM(U10:X10)</f>
        <v>-7.1140939597315436</v>
      </c>
      <c r="Z10" s="118"/>
      <c r="AA10" s="118">
        <v>0</v>
      </c>
      <c r="AB10" s="118">
        <v>0</v>
      </c>
      <c r="AC10" s="118">
        <v>0</v>
      </c>
      <c r="AD10" s="118">
        <v>0</v>
      </c>
      <c r="AE10" s="119">
        <f>SUM(AA10:AD10)</f>
        <v>0</v>
      </c>
      <c r="AF10" s="118"/>
      <c r="AG10" s="118">
        <v>0</v>
      </c>
      <c r="AH10" s="118">
        <v>0</v>
      </c>
      <c r="AI10" s="118">
        <v>0</v>
      </c>
      <c r="AJ10" s="118">
        <v>0</v>
      </c>
      <c r="AK10" s="119">
        <f>SUM(AG10:AJ10)</f>
        <v>0</v>
      </c>
      <c r="AL10" s="118"/>
      <c r="AM10" s="118">
        <v>0</v>
      </c>
      <c r="AN10" s="118">
        <v>0</v>
      </c>
      <c r="AO10" s="118">
        <v>0</v>
      </c>
      <c r="AP10" s="127">
        <v>-9.1275167785234892</v>
      </c>
      <c r="AQ10" s="119">
        <f>SUM(AM10:AP10)</f>
        <v>-9.1275167785234892</v>
      </c>
      <c r="AR10" s="118"/>
      <c r="AS10" s="118">
        <v>0</v>
      </c>
      <c r="AT10" s="118">
        <v>0</v>
      </c>
      <c r="AU10" s="118">
        <v>0</v>
      </c>
      <c r="AV10" s="127">
        <v>-0.80536912751677847</v>
      </c>
      <c r="AW10" s="119">
        <f>SUM(AS10:AV10)</f>
        <v>-0.80536912751677847</v>
      </c>
      <c r="AX10" s="118"/>
      <c r="AY10" s="118">
        <v>0</v>
      </c>
      <c r="AZ10" s="118">
        <v>0</v>
      </c>
      <c r="BA10" s="118">
        <v>0</v>
      </c>
      <c r="BB10" s="127">
        <v>-8.8590604026845643</v>
      </c>
      <c r="BC10" s="119">
        <f>SUM(AY10:BB10)</f>
        <v>-8.8590604026845643</v>
      </c>
      <c r="BD10" s="118"/>
      <c r="BE10" s="118">
        <v>0</v>
      </c>
      <c r="BF10" s="118">
        <v>0</v>
      </c>
      <c r="BG10" s="118">
        <v>0</v>
      </c>
      <c r="BH10" s="127">
        <v>-2.6845637583892619</v>
      </c>
      <c r="BI10" s="119">
        <f>SUM(BE10:BH10)</f>
        <v>-2.6845637583892619</v>
      </c>
      <c r="BJ10" s="118"/>
      <c r="BK10" s="118">
        <v>0</v>
      </c>
      <c r="BL10" s="118">
        <v>-37.181208053691272</v>
      </c>
      <c r="BM10" s="118">
        <v>0.93959731543624159</v>
      </c>
      <c r="BN10" s="127">
        <v>-0.8</v>
      </c>
      <c r="BO10" s="119">
        <f>SUM(BK10:BN10)</f>
        <v>-37.041610738255031</v>
      </c>
      <c r="BP10" s="118"/>
      <c r="BQ10" s="118">
        <v>0</v>
      </c>
      <c r="BR10" s="118">
        <v>0</v>
      </c>
      <c r="BS10" s="118"/>
      <c r="BT10" s="127"/>
      <c r="BU10" s="119">
        <f>SUM(BQ10:BT10)</f>
        <v>0</v>
      </c>
      <c r="BV10" s="118"/>
      <c r="BW10" s="118"/>
    </row>
    <row r="11" spans="1:75" s="5" customFormat="1" ht="18.75" customHeight="1">
      <c r="A11" s="5" t="s">
        <v>3</v>
      </c>
      <c r="C11" s="117">
        <f>SUM(C7:C10)</f>
        <v>9.932885906040271</v>
      </c>
      <c r="D11" s="117">
        <f>SUM(D7:D10)</f>
        <v>16.778523489932887</v>
      </c>
      <c r="E11" s="117">
        <f>SUM(E7:E10)</f>
        <v>18.657718120805367</v>
      </c>
      <c r="F11" s="117">
        <f>SUM(F7:F10)</f>
        <v>20.536912751677853</v>
      </c>
      <c r="G11" s="116">
        <f>SUM(G7:G10)</f>
        <v>65.906040268456366</v>
      </c>
      <c r="H11" s="117"/>
      <c r="I11" s="117">
        <f>SUM(I7:I10)</f>
        <v>16.644295302013422</v>
      </c>
      <c r="J11" s="117">
        <f>SUM(J7:J10)</f>
        <v>43.489932885906036</v>
      </c>
      <c r="K11" s="117">
        <f>SUM(K7:K10)</f>
        <v>27.114093959731544</v>
      </c>
      <c r="L11" s="117">
        <f>SUM(L7:L10)</f>
        <v>22.550335570469798</v>
      </c>
      <c r="M11" s="116">
        <f>SUM(M7:M10)</f>
        <v>109.79865771812081</v>
      </c>
      <c r="N11" s="117"/>
      <c r="O11" s="117">
        <f>SUM(O7:O10)</f>
        <v>25.637583892617453</v>
      </c>
      <c r="P11" s="117">
        <f>SUM(P7:P10)</f>
        <v>44.429530201342281</v>
      </c>
      <c r="Q11" s="117">
        <f>SUM(Q7:Q10)</f>
        <v>33.288590604026844</v>
      </c>
      <c r="R11" s="117">
        <f>SUM(R7:R10)</f>
        <v>48.724832214765101</v>
      </c>
      <c r="S11" s="116">
        <f>SUM(S7:S10)</f>
        <v>152.08053691275168</v>
      </c>
      <c r="T11" s="117"/>
      <c r="U11" s="128">
        <f>SUM(U7:U10)</f>
        <v>30.33557046979865</v>
      </c>
      <c r="V11" s="128">
        <f>SUM(V7:V10)</f>
        <v>50.604026845637584</v>
      </c>
      <c r="W11" s="128">
        <f>SUM(W7:W10)</f>
        <v>32.348993288590606</v>
      </c>
      <c r="X11" s="128">
        <f>SUM(X7:X10)</f>
        <v>-3.4899328859060388</v>
      </c>
      <c r="Y11" s="129">
        <f>SUM(Y7:Y10)</f>
        <v>109.79865771812081</v>
      </c>
      <c r="Z11" s="117"/>
      <c r="AA11" s="128">
        <f>SUM(AA7:AA10)</f>
        <v>4.8322147651006704</v>
      </c>
      <c r="AB11" s="128">
        <f>SUM(AB7:AB10)</f>
        <v>19.597315436241612</v>
      </c>
      <c r="AC11" s="128">
        <f>SUM(AC7:AC10)</f>
        <v>17.583892617449663</v>
      </c>
      <c r="AD11" s="128">
        <f>SUM(AD7:AD10)</f>
        <v>13.825503355704697</v>
      </c>
      <c r="AE11" s="129">
        <f>SUM(AE7:AE10)</f>
        <v>55.838926174496649</v>
      </c>
      <c r="AF11" s="117"/>
      <c r="AG11" s="128">
        <f>SUM(AG7:AG10)</f>
        <v>16.107382550335569</v>
      </c>
      <c r="AH11" s="128">
        <f>SUM(AH7:AH10)</f>
        <v>21.476510067114095</v>
      </c>
      <c r="AI11" s="128">
        <f>SUM(AI7:AI10)</f>
        <v>19.865771812080538</v>
      </c>
      <c r="AJ11" s="128">
        <f>SUM(AJ7:AJ10)</f>
        <v>6.9798657718120785</v>
      </c>
      <c r="AK11" s="129">
        <f>SUM(AK7:AK10)</f>
        <v>64.429530201342274</v>
      </c>
      <c r="AL11" s="117"/>
      <c r="AM11" s="128">
        <f>SUM(AM7:AM10)</f>
        <v>13.020134228187921</v>
      </c>
      <c r="AN11" s="128">
        <f>SUM(AN7:AN10)</f>
        <v>12.885906040268457</v>
      </c>
      <c r="AO11" s="128">
        <f>SUM(AO7:AO10)</f>
        <v>24.832214765100669</v>
      </c>
      <c r="AP11" s="128">
        <f>SUM(AP7:AP10)</f>
        <v>8.9932885906040276</v>
      </c>
      <c r="AQ11" s="129">
        <f>SUM(AQ7:AQ10)</f>
        <v>59.731543624161091</v>
      </c>
      <c r="AR11" s="117"/>
      <c r="AS11" s="128">
        <f>SUM(AS7:AS10)</f>
        <v>13.825503355704697</v>
      </c>
      <c r="AT11" s="128">
        <f>SUM(AT7:AT10)</f>
        <v>13.288590604026844</v>
      </c>
      <c r="AU11" s="128">
        <f>SUM(AU7:AU10)</f>
        <v>13.691275167785236</v>
      </c>
      <c r="AV11" s="128">
        <f>SUM(AV7:AV10)</f>
        <v>22.68456375838926</v>
      </c>
      <c r="AW11" s="129">
        <f>SUM(AW7:AW10)</f>
        <v>63.48993288590605</v>
      </c>
      <c r="AX11" s="117"/>
      <c r="AY11" s="128">
        <f>SUM(AY7:AY10)</f>
        <v>11.812080536912752</v>
      </c>
      <c r="AZ11" s="128">
        <f>SUM(AZ7:AZ10)</f>
        <v>20.000000000000004</v>
      </c>
      <c r="BA11" s="128">
        <f>SUM(BA7:BA10)</f>
        <v>14.093959731543626</v>
      </c>
      <c r="BB11" s="128">
        <f>SUM(BB7:BB10)</f>
        <v>22.281879194630868</v>
      </c>
      <c r="BC11" s="129">
        <f>SUM(BC7:BC10)</f>
        <v>68.187919463087241</v>
      </c>
      <c r="BD11" s="117"/>
      <c r="BE11" s="128">
        <f>SUM(BE7:BE10)</f>
        <v>21.610738255033556</v>
      </c>
      <c r="BF11" s="128">
        <f>SUM(BF7:BF10)</f>
        <v>11.543624161073827</v>
      </c>
      <c r="BG11" s="128">
        <f>SUM(BG7:BG10)</f>
        <v>13.020134228187919</v>
      </c>
      <c r="BH11" s="128">
        <f>SUM(BH7:BH10)</f>
        <v>21.610738255033556</v>
      </c>
      <c r="BI11" s="129">
        <f>SUM(BI7:BI10)</f>
        <v>67.785234899328842</v>
      </c>
      <c r="BJ11" s="117"/>
      <c r="BK11" s="128">
        <f>SUM(BK7:BK10)</f>
        <v>14.496644295302019</v>
      </c>
      <c r="BL11" s="128">
        <f>SUM(BL7:BL10)</f>
        <v>-1.8791946308724832</v>
      </c>
      <c r="BM11" s="128">
        <f>SUM(BM7:BM10)</f>
        <v>13.557046979865769</v>
      </c>
      <c r="BN11" s="128">
        <f>SUM(BN7:BN10)</f>
        <v>11.899999999999995</v>
      </c>
      <c r="BO11" s="129">
        <f>SUM(BO7:BO10)</f>
        <v>38.074496644295323</v>
      </c>
      <c r="BP11" s="117"/>
      <c r="BQ11" s="128">
        <f>SUM(BQ7:BQ10)</f>
        <v>16.200999999999997</v>
      </c>
      <c r="BR11" s="128">
        <f>SUM(BR7:BR10)</f>
        <v>30.299999999999997</v>
      </c>
      <c r="BS11" s="128"/>
      <c r="BT11" s="128"/>
      <c r="BU11" s="129">
        <f>SUM(BU7:BU10)</f>
        <v>46.500999999999991</v>
      </c>
      <c r="BV11" s="117"/>
      <c r="BW11" s="117"/>
    </row>
    <row r="12" spans="1:75" hidden="1">
      <c r="A12" s="2" t="s">
        <v>50</v>
      </c>
      <c r="C12" s="31"/>
      <c r="D12" s="31"/>
      <c r="E12" s="31"/>
      <c r="F12" s="31"/>
      <c r="G12" s="116">
        <f>SUM(C12:F12)</f>
        <v>0</v>
      </c>
      <c r="H12" s="31"/>
      <c r="I12" s="31"/>
      <c r="J12" s="31"/>
      <c r="K12" s="31"/>
      <c r="L12" s="31"/>
      <c r="M12" s="116">
        <f>SUM(I12:L12)</f>
        <v>0</v>
      </c>
      <c r="N12" s="31"/>
      <c r="O12" s="31"/>
      <c r="P12" s="31"/>
      <c r="Q12" s="31"/>
      <c r="R12" s="31"/>
      <c r="S12" s="116">
        <f>SUM(O12:R12)</f>
        <v>0</v>
      </c>
      <c r="T12" s="31"/>
      <c r="U12" s="31"/>
      <c r="V12" s="31"/>
      <c r="W12" s="31"/>
      <c r="X12" s="31"/>
      <c r="Y12" s="116">
        <f>SUM(U12:X12)</f>
        <v>0</v>
      </c>
      <c r="Z12" s="31"/>
      <c r="AA12" s="31"/>
      <c r="AB12" s="31"/>
      <c r="AC12" s="31"/>
      <c r="AD12" s="31"/>
      <c r="AE12" s="116">
        <f>SUM(AA12:AD12)</f>
        <v>0</v>
      </c>
      <c r="AF12" s="31"/>
      <c r="AG12" s="31"/>
      <c r="AH12" s="31"/>
      <c r="AI12" s="31"/>
      <c r="AJ12" s="31"/>
      <c r="AK12" s="116">
        <f>SUM(AG12:AJ12)</f>
        <v>0</v>
      </c>
      <c r="AL12" s="31"/>
      <c r="AM12" s="31"/>
      <c r="AN12" s="31"/>
      <c r="AO12" s="31"/>
      <c r="AP12" s="31"/>
      <c r="AQ12" s="116">
        <f>SUM(AM12:AP12)</f>
        <v>0</v>
      </c>
      <c r="AR12" s="31"/>
      <c r="AS12" s="31"/>
      <c r="AT12" s="31"/>
      <c r="AU12" s="31"/>
      <c r="AV12" s="31"/>
      <c r="AW12" s="116">
        <f>SUM(AS12:AV12)</f>
        <v>0</v>
      </c>
      <c r="AX12" s="31"/>
      <c r="AY12" s="31"/>
      <c r="AZ12" s="31"/>
      <c r="BA12" s="31"/>
      <c r="BB12" s="31"/>
      <c r="BC12" s="116">
        <f>SUM(AY12:BB12)</f>
        <v>0</v>
      </c>
      <c r="BD12" s="31"/>
      <c r="BE12" s="31"/>
      <c r="BF12" s="31"/>
      <c r="BG12" s="31"/>
      <c r="BH12" s="31"/>
      <c r="BI12" s="116">
        <f>SUM(BE12:BH12)</f>
        <v>0</v>
      </c>
      <c r="BJ12" s="31"/>
      <c r="BK12" s="31"/>
      <c r="BL12" s="31"/>
      <c r="BM12" s="31"/>
      <c r="BN12" s="31"/>
      <c r="BO12" s="116">
        <f>SUM(BK12:BN12)</f>
        <v>0</v>
      </c>
      <c r="BP12" s="31"/>
      <c r="BQ12" s="31"/>
      <c r="BR12" s="31"/>
      <c r="BS12" s="31"/>
      <c r="BT12" s="31"/>
      <c r="BU12" s="116">
        <f>SUM(BQ12:BT12)</f>
        <v>0</v>
      </c>
      <c r="BV12" s="31"/>
      <c r="BW12" s="31"/>
    </row>
    <row r="13" spans="1:75" s="60" customFormat="1">
      <c r="A13" s="60" t="s">
        <v>160</v>
      </c>
      <c r="C13" s="118"/>
      <c r="D13" s="118"/>
      <c r="E13" s="118"/>
      <c r="F13" s="118">
        <v>-0.80536912751677847</v>
      </c>
      <c r="G13" s="119">
        <f>SUM(C13:F13)</f>
        <v>-0.80536912751677847</v>
      </c>
      <c r="H13" s="118"/>
      <c r="I13" s="118"/>
      <c r="J13" s="118"/>
      <c r="K13" s="118"/>
      <c r="L13" s="118"/>
      <c r="M13" s="119">
        <f>SUM(I13:L13)</f>
        <v>0</v>
      </c>
      <c r="N13" s="118"/>
      <c r="O13" s="118"/>
      <c r="P13" s="118"/>
      <c r="Q13" s="118"/>
      <c r="R13" s="118"/>
      <c r="S13" s="119">
        <f>SUM(O13:R13)</f>
        <v>0</v>
      </c>
      <c r="T13" s="118"/>
      <c r="U13" s="118"/>
      <c r="V13" s="118"/>
      <c r="W13" s="118"/>
      <c r="X13" s="118"/>
      <c r="Y13" s="119">
        <f>SUM(U13:X13)</f>
        <v>0</v>
      </c>
      <c r="Z13" s="118"/>
      <c r="AA13" s="118"/>
      <c r="AB13" s="118"/>
      <c r="AC13" s="118"/>
      <c r="AD13" s="118"/>
      <c r="AE13" s="119">
        <f>SUM(AA13:AD13)</f>
        <v>0</v>
      </c>
      <c r="AF13" s="118"/>
      <c r="AG13" s="118">
        <v>0</v>
      </c>
      <c r="AH13" s="118">
        <v>0</v>
      </c>
      <c r="AI13" s="118">
        <v>0</v>
      </c>
      <c r="AJ13" s="118">
        <v>0</v>
      </c>
      <c r="AK13" s="119">
        <f>SUM(AG13:AJ13)</f>
        <v>0</v>
      </c>
      <c r="AL13" s="118"/>
      <c r="AM13" s="118">
        <v>0</v>
      </c>
      <c r="AN13" s="118">
        <v>0</v>
      </c>
      <c r="AO13" s="118">
        <v>0</v>
      </c>
      <c r="AP13" s="118">
        <v>0</v>
      </c>
      <c r="AQ13" s="119">
        <f>SUM(AM13:AP13)</f>
        <v>0</v>
      </c>
      <c r="AR13" s="118"/>
      <c r="AS13" s="118">
        <v>0</v>
      </c>
      <c r="AT13" s="118">
        <v>0</v>
      </c>
      <c r="AU13" s="118">
        <v>0</v>
      </c>
      <c r="AV13" s="118">
        <v>0</v>
      </c>
      <c r="AW13" s="119">
        <f>SUM(AS13:AV13)</f>
        <v>0</v>
      </c>
      <c r="AX13" s="118"/>
      <c r="AY13" s="118">
        <v>0</v>
      </c>
      <c r="AZ13" s="118">
        <v>0</v>
      </c>
      <c r="BA13" s="118">
        <v>0</v>
      </c>
      <c r="BB13" s="118">
        <v>0</v>
      </c>
      <c r="BC13" s="119">
        <f>SUM(AY13:BB13)</f>
        <v>0</v>
      </c>
      <c r="BD13" s="118"/>
      <c r="BE13" s="118">
        <v>0</v>
      </c>
      <c r="BF13" s="118">
        <v>0</v>
      </c>
      <c r="BG13" s="118">
        <v>0</v>
      </c>
      <c r="BH13" s="118">
        <v>0</v>
      </c>
      <c r="BI13" s="119">
        <f>SUM(BE13:BH13)</f>
        <v>0</v>
      </c>
      <c r="BJ13" s="118"/>
      <c r="BK13" s="118">
        <v>0</v>
      </c>
      <c r="BL13" s="118">
        <v>-3.7583892617449663</v>
      </c>
      <c r="BM13" s="118">
        <v>0</v>
      </c>
      <c r="BN13" s="118">
        <v>-0.1</v>
      </c>
      <c r="BO13" s="119">
        <f>SUM(BK13:BN13)</f>
        <v>-3.8583892617449664</v>
      </c>
      <c r="BP13" s="118"/>
      <c r="BQ13" s="118">
        <v>0</v>
      </c>
      <c r="BR13" s="118">
        <v>0</v>
      </c>
      <c r="BS13" s="118"/>
      <c r="BT13" s="118"/>
      <c r="BU13" s="119">
        <f>SUM(BQ13:BT13)</f>
        <v>0</v>
      </c>
      <c r="BV13" s="118"/>
      <c r="BW13" s="118"/>
    </row>
    <row r="14" spans="1:75" s="5" customFormat="1" ht="18.75" customHeight="1">
      <c r="A14" s="5" t="s">
        <v>2</v>
      </c>
      <c r="C14" s="117">
        <f>SUM(C11:C13)</f>
        <v>9.932885906040271</v>
      </c>
      <c r="D14" s="117">
        <f>SUM(D11:D13)</f>
        <v>16.778523489932887</v>
      </c>
      <c r="E14" s="117">
        <f>SUM(E11:E13)</f>
        <v>18.657718120805367</v>
      </c>
      <c r="F14" s="117">
        <f>SUM(F11:F13)</f>
        <v>19.731543624161073</v>
      </c>
      <c r="G14" s="116">
        <f>SUM(G11:G13)</f>
        <v>65.100671140939582</v>
      </c>
      <c r="H14" s="117"/>
      <c r="I14" s="117">
        <f>SUM(I11:I13)</f>
        <v>16.644295302013422</v>
      </c>
      <c r="J14" s="117">
        <f>SUM(J11:J13)</f>
        <v>43.489932885906036</v>
      </c>
      <c r="K14" s="117">
        <f>SUM(K11:K13)</f>
        <v>27.114093959731544</v>
      </c>
      <c r="L14" s="117">
        <f>SUM(L11:L13)</f>
        <v>22.550335570469798</v>
      </c>
      <c r="M14" s="116">
        <f>SUM(M11:M13)</f>
        <v>109.79865771812081</v>
      </c>
      <c r="N14" s="117"/>
      <c r="O14" s="117">
        <f>SUM(O11:O13)</f>
        <v>25.637583892617453</v>
      </c>
      <c r="P14" s="117">
        <f>SUM(P11:P13)</f>
        <v>44.429530201342281</v>
      </c>
      <c r="Q14" s="117">
        <f>SUM(Q11:Q13)</f>
        <v>33.288590604026844</v>
      </c>
      <c r="R14" s="117">
        <f>SUM(R11:R13)</f>
        <v>48.724832214765101</v>
      </c>
      <c r="S14" s="116">
        <f>SUM(S11:S13)</f>
        <v>152.08053691275168</v>
      </c>
      <c r="T14" s="117"/>
      <c r="U14" s="117">
        <f>SUM(U11:U13)</f>
        <v>30.33557046979865</v>
      </c>
      <c r="V14" s="117">
        <f>SUM(V11:V13)</f>
        <v>50.604026845637584</v>
      </c>
      <c r="W14" s="117">
        <f>SUM(W11:W13)</f>
        <v>32.348993288590606</v>
      </c>
      <c r="X14" s="117">
        <f>SUM(X11:X13)</f>
        <v>-3.4899328859060388</v>
      </c>
      <c r="Y14" s="116">
        <f>SUM(Y11:Y13)</f>
        <v>109.79865771812081</v>
      </c>
      <c r="Z14" s="117"/>
      <c r="AA14" s="117">
        <f>SUM(AA11:AA13)</f>
        <v>4.8322147651006704</v>
      </c>
      <c r="AB14" s="117">
        <f>SUM(AB11:AB13)</f>
        <v>19.597315436241612</v>
      </c>
      <c r="AC14" s="117">
        <f>SUM(AC11:AC13)</f>
        <v>17.583892617449663</v>
      </c>
      <c r="AD14" s="117">
        <f>SUM(AD11:AD13)</f>
        <v>13.825503355704697</v>
      </c>
      <c r="AE14" s="116">
        <f>SUM(AE11:AE13)</f>
        <v>55.838926174496649</v>
      </c>
      <c r="AF14" s="117"/>
      <c r="AG14" s="117">
        <f>SUM(AG11:AG13)</f>
        <v>16.107382550335569</v>
      </c>
      <c r="AH14" s="117">
        <f>SUM(AH11:AH13)</f>
        <v>21.476510067114095</v>
      </c>
      <c r="AI14" s="117">
        <f>SUM(AI11:AI13)</f>
        <v>19.865771812080538</v>
      </c>
      <c r="AJ14" s="117">
        <f>SUM(AJ11:AJ13)</f>
        <v>6.9798657718120785</v>
      </c>
      <c r="AK14" s="116">
        <f>SUM(AK11:AK13)</f>
        <v>64.429530201342274</v>
      </c>
      <c r="AL14" s="117"/>
      <c r="AM14" s="117">
        <f>SUM(AM11:AM13)</f>
        <v>13.020134228187921</v>
      </c>
      <c r="AN14" s="117">
        <f>SUM(AN11:AN13)</f>
        <v>12.885906040268457</v>
      </c>
      <c r="AO14" s="117">
        <f>SUM(AO11:AO13)</f>
        <v>24.832214765100669</v>
      </c>
      <c r="AP14" s="117">
        <f>SUM(AP11:AP13)</f>
        <v>8.9932885906040276</v>
      </c>
      <c r="AQ14" s="116">
        <f>SUM(AQ11:AQ13)</f>
        <v>59.731543624161091</v>
      </c>
      <c r="AR14" s="117"/>
      <c r="AS14" s="117">
        <f>SUM(AS11:AS13)</f>
        <v>13.825503355704697</v>
      </c>
      <c r="AT14" s="117">
        <f>SUM(AT11:AT13)</f>
        <v>13.288590604026844</v>
      </c>
      <c r="AU14" s="117">
        <f>SUM(AU11:AU13)</f>
        <v>13.691275167785236</v>
      </c>
      <c r="AV14" s="117">
        <f>SUM(AV11:AV13)</f>
        <v>22.68456375838926</v>
      </c>
      <c r="AW14" s="116">
        <f>SUM(AW11:AW13)</f>
        <v>63.48993288590605</v>
      </c>
      <c r="AX14" s="117"/>
      <c r="AY14" s="117">
        <f>SUM(AY11:AY13)</f>
        <v>11.812080536912752</v>
      </c>
      <c r="AZ14" s="117">
        <f>SUM(AZ11:AZ13)</f>
        <v>20.000000000000004</v>
      </c>
      <c r="BA14" s="117">
        <f>SUM(BA11:BA13)</f>
        <v>14.093959731543626</v>
      </c>
      <c r="BB14" s="117">
        <f>SUM(BB11:BB13)</f>
        <v>22.281879194630868</v>
      </c>
      <c r="BC14" s="116">
        <f>SUM(BC11:BC13)</f>
        <v>68.187919463087241</v>
      </c>
      <c r="BD14" s="117"/>
      <c r="BE14" s="117">
        <f>SUM(BE11:BE13)</f>
        <v>21.610738255033556</v>
      </c>
      <c r="BF14" s="117">
        <f>SUM(BF11:BF13)</f>
        <v>11.543624161073827</v>
      </c>
      <c r="BG14" s="117">
        <f>SUM(BG11:BG13)</f>
        <v>13.020134228187919</v>
      </c>
      <c r="BH14" s="117">
        <f>SUM(BH11:BH13)</f>
        <v>21.610738255033556</v>
      </c>
      <c r="BI14" s="116">
        <f>SUM(BI11:BI13)</f>
        <v>67.785234899328842</v>
      </c>
      <c r="BJ14" s="117"/>
      <c r="BK14" s="117">
        <f>SUM(BK11:BK13)</f>
        <v>14.496644295302019</v>
      </c>
      <c r="BL14" s="117">
        <f>SUM(BL11:BL13)</f>
        <v>-5.6375838926174495</v>
      </c>
      <c r="BM14" s="117">
        <f>SUM(BM11:BM13)</f>
        <v>13.557046979865769</v>
      </c>
      <c r="BN14" s="117">
        <f>SUM(BN11:BN13)</f>
        <v>11.799999999999995</v>
      </c>
      <c r="BO14" s="116">
        <f>SUM(BO11:BO13)</f>
        <v>34.216107382550355</v>
      </c>
      <c r="BP14" s="117"/>
      <c r="BQ14" s="117">
        <f>SUM(BQ11:BQ13)</f>
        <v>16.200999999999997</v>
      </c>
      <c r="BR14" s="117">
        <f>SUM(BR11:BR13)</f>
        <v>30.299999999999997</v>
      </c>
      <c r="BS14" s="117"/>
      <c r="BT14" s="117"/>
      <c r="BU14" s="116">
        <f>SUM(BU11:BU13)</f>
        <v>46.500999999999991</v>
      </c>
      <c r="BV14" s="117"/>
      <c r="BW14" s="117"/>
    </row>
    <row r="15" spans="1:75" s="60" customFormat="1">
      <c r="A15" s="60" t="s">
        <v>4</v>
      </c>
      <c r="C15" s="118">
        <v>-2.0134228187919461</v>
      </c>
      <c r="D15" s="118">
        <v>0.13422818791946309</v>
      </c>
      <c r="E15" s="118">
        <v>-0.13422818791946309</v>
      </c>
      <c r="F15" s="118">
        <v>-0.93959731543624159</v>
      </c>
      <c r="G15" s="119">
        <f>SUM(C15:F15)</f>
        <v>-2.9530201342281877</v>
      </c>
      <c r="H15" s="118"/>
      <c r="I15" s="118">
        <v>-1.8791946308724832</v>
      </c>
      <c r="J15" s="118">
        <v>-1.6107382550335569</v>
      </c>
      <c r="K15" s="118">
        <v>-1.2080536912751678</v>
      </c>
      <c r="L15" s="118">
        <v>-1.8791946308724832</v>
      </c>
      <c r="M15" s="119">
        <f>SUM(I15:L15)</f>
        <v>-6.5771812080536911</v>
      </c>
      <c r="N15" s="118"/>
      <c r="O15" s="118">
        <v>-4.1610738255033555</v>
      </c>
      <c r="P15" s="118">
        <v>-3.087248322147651</v>
      </c>
      <c r="Q15" s="118">
        <v>-4.4295302013422821</v>
      </c>
      <c r="R15" s="118">
        <v>-7.7852348993288585</v>
      </c>
      <c r="S15" s="119">
        <f>SUM(O15:R15)</f>
        <v>-19.463087248322147</v>
      </c>
      <c r="T15" s="118"/>
      <c r="U15" s="118">
        <v>-5.6375838926174495</v>
      </c>
      <c r="V15" s="118">
        <v>-9.1275167785234892</v>
      </c>
      <c r="W15" s="118">
        <v>-7.2483221476510069</v>
      </c>
      <c r="X15" s="118">
        <v>-8.3221476510067109</v>
      </c>
      <c r="Y15" s="119">
        <f>SUM(U15:X15)</f>
        <v>-30.335570469798654</v>
      </c>
      <c r="Z15" s="118"/>
      <c r="AA15" s="118">
        <v>-4.6979865771812079</v>
      </c>
      <c r="AB15" s="118">
        <v>-3.4899328859060401</v>
      </c>
      <c r="AC15" s="118">
        <v>-3.2214765100671139</v>
      </c>
      <c r="AD15" s="118">
        <v>-5.3691275167785237</v>
      </c>
      <c r="AE15" s="119">
        <f>SUM(AA15:AD15)</f>
        <v>-16.778523489932883</v>
      </c>
      <c r="AF15" s="118"/>
      <c r="AG15" s="118">
        <v>-3.6241610738255035</v>
      </c>
      <c r="AH15" s="118">
        <v>-2.9530201342281877</v>
      </c>
      <c r="AI15" s="118">
        <v>-5.7718120805369129</v>
      </c>
      <c r="AJ15" s="118">
        <v>-5.7718120805369129</v>
      </c>
      <c r="AK15" s="119">
        <f>SUM(AG15:AJ15)</f>
        <v>-18.120805369127517</v>
      </c>
      <c r="AL15" s="118"/>
      <c r="AM15" s="118">
        <v>-5.7718120805369129</v>
      </c>
      <c r="AN15" s="118">
        <v>-8.1879194630872476</v>
      </c>
      <c r="AO15" s="118">
        <v>-14.228187919463087</v>
      </c>
      <c r="AP15" s="118">
        <v>-9.3959731543624159</v>
      </c>
      <c r="AQ15" s="119">
        <f>SUM(AM15:AP15)</f>
        <v>-37.583892617449663</v>
      </c>
      <c r="AR15" s="118"/>
      <c r="AS15" s="118">
        <v>-7.9194630872483218</v>
      </c>
      <c r="AT15" s="118">
        <v>-6.9798657718120802</v>
      </c>
      <c r="AU15" s="118">
        <v>-5.9060402684563753</v>
      </c>
      <c r="AV15" s="118">
        <v>-5.5033557046979862</v>
      </c>
      <c r="AW15" s="119">
        <f>SUM(AS15:AV15)</f>
        <v>-26.308724832214764</v>
      </c>
      <c r="AX15" s="118"/>
      <c r="AY15" s="118">
        <v>-6.4429530201342278</v>
      </c>
      <c r="AZ15" s="118">
        <v>-5.3691275167785237</v>
      </c>
      <c r="BA15" s="118">
        <v>-4.8322147651006713</v>
      </c>
      <c r="BB15" s="118">
        <v>-4.8322147651006713</v>
      </c>
      <c r="BC15" s="119">
        <f>SUM(AY15:BB15)</f>
        <v>-21.476510067114098</v>
      </c>
      <c r="BD15" s="118"/>
      <c r="BE15" s="118">
        <v>-3.3557046979865772</v>
      </c>
      <c r="BF15" s="118">
        <v>-3.6241610738255035</v>
      </c>
      <c r="BG15" s="118">
        <v>-2.8187919463087248</v>
      </c>
      <c r="BH15" s="118">
        <v>-3.4899328859060401</v>
      </c>
      <c r="BI15" s="119">
        <f>SUM(BE15:BH15)</f>
        <v>-13.288590604026846</v>
      </c>
      <c r="BJ15" s="118"/>
      <c r="BK15" s="118">
        <v>2.1476510067114094</v>
      </c>
      <c r="BL15" s="118">
        <v>-2.8187919463087248</v>
      </c>
      <c r="BM15" s="118">
        <v>-3.4899328859060401</v>
      </c>
      <c r="BN15" s="118">
        <v>-1.94</v>
      </c>
      <c r="BO15" s="119">
        <f>SUM(BK15:BN15)</f>
        <v>-6.1010738255033559</v>
      </c>
      <c r="BP15" s="118"/>
      <c r="BQ15" s="118">
        <v>-1.2</v>
      </c>
      <c r="BR15" s="118">
        <v>-2.9</v>
      </c>
      <c r="BS15" s="118"/>
      <c r="BT15" s="118"/>
      <c r="BU15" s="119">
        <f>SUM(BQ15:BT15)</f>
        <v>-4.0999999999999996</v>
      </c>
      <c r="BV15" s="118"/>
      <c r="BW15" s="118"/>
    </row>
    <row r="16" spans="1:75" s="5" customFormat="1" ht="18.75" customHeight="1">
      <c r="A16" s="1" t="s">
        <v>5</v>
      </c>
      <c r="C16" s="117">
        <f>SUM(C14:C15)</f>
        <v>7.9194630872483245</v>
      </c>
      <c r="D16" s="117">
        <f>SUM(D14:D15)</f>
        <v>16.912751677852349</v>
      </c>
      <c r="E16" s="117">
        <f>SUM(E14:E15)</f>
        <v>18.523489932885905</v>
      </c>
      <c r="F16" s="117">
        <f>SUM(F14:F15)</f>
        <v>18.791946308724832</v>
      </c>
      <c r="G16" s="116">
        <f>SUM(G14:G15)</f>
        <v>62.147651006711392</v>
      </c>
      <c r="H16" s="117"/>
      <c r="I16" s="117">
        <f>SUM(I14:I15)</f>
        <v>14.765100671140939</v>
      </c>
      <c r="J16" s="117">
        <f>SUM(J14:J15)</f>
        <v>41.879194630872476</v>
      </c>
      <c r="K16" s="117">
        <f>SUM(K14:K15)</f>
        <v>25.906040268456376</v>
      </c>
      <c r="L16" s="117">
        <f>SUM(L14:L15)</f>
        <v>20.671140939597315</v>
      </c>
      <c r="M16" s="116">
        <f>SUM(M14:M15)</f>
        <v>103.22147651006712</v>
      </c>
      <c r="N16" s="117"/>
      <c r="O16" s="117">
        <f>SUM(O14:O15)</f>
        <v>21.476510067114098</v>
      </c>
      <c r="P16" s="117">
        <f>SUM(P14:P15)</f>
        <v>41.34228187919463</v>
      </c>
      <c r="Q16" s="117">
        <f>SUM(Q14:Q15)</f>
        <v>28.859060402684563</v>
      </c>
      <c r="R16" s="117">
        <f>SUM(R14:R15)</f>
        <v>40.939597315436245</v>
      </c>
      <c r="S16" s="116">
        <f>SUM(S14:S15)</f>
        <v>132.61744966442953</v>
      </c>
      <c r="T16" s="117"/>
      <c r="U16" s="117">
        <f>SUM(U14:U15)</f>
        <v>24.697986577181201</v>
      </c>
      <c r="V16" s="117">
        <f>SUM(V14:V15)</f>
        <v>41.476510067114091</v>
      </c>
      <c r="W16" s="117">
        <f>SUM(W14:W15)</f>
        <v>25.1006711409396</v>
      </c>
      <c r="X16" s="117">
        <f>SUM(X14:X15)</f>
        <v>-11.812080536912749</v>
      </c>
      <c r="Y16" s="116">
        <f>SUM(Y14:Y15)</f>
        <v>79.463087248322154</v>
      </c>
      <c r="Z16" s="117"/>
      <c r="AA16" s="117">
        <f>SUM(AA14:AA15)</f>
        <v>0.13422818791946245</v>
      </c>
      <c r="AB16" s="117">
        <f>SUM(AB14:AB15)</f>
        <v>16.107382550335572</v>
      </c>
      <c r="AC16" s="117">
        <f>SUM(AC14:AC15)</f>
        <v>14.36241610738255</v>
      </c>
      <c r="AD16" s="117">
        <f>SUM(AD14:AD15)</f>
        <v>8.4563758389261743</v>
      </c>
      <c r="AE16" s="116">
        <f>SUM(AE14:AE15)</f>
        <v>39.060402684563769</v>
      </c>
      <c r="AF16" s="117"/>
      <c r="AG16" s="117">
        <f>SUM(AG14:AG15)</f>
        <v>12.483221476510066</v>
      </c>
      <c r="AH16" s="117">
        <f>SUM(AH14:AH15)</f>
        <v>18.523489932885909</v>
      </c>
      <c r="AI16" s="117">
        <f>SUM(AI14:AI15)</f>
        <v>14.093959731543626</v>
      </c>
      <c r="AJ16" s="117">
        <f>SUM(AJ14:AJ15)</f>
        <v>1.2080536912751656</v>
      </c>
      <c r="AK16" s="116">
        <f>SUM(AK14:AK15)</f>
        <v>46.308724832214757</v>
      </c>
      <c r="AL16" s="117"/>
      <c r="AM16" s="117">
        <f>SUM(AM14:AM15)</f>
        <v>7.2483221476510078</v>
      </c>
      <c r="AN16" s="117">
        <f>SUM(AN14:AN15)</f>
        <v>4.6979865771812097</v>
      </c>
      <c r="AO16" s="117">
        <f>SUM(AO14:AO15)</f>
        <v>10.604026845637582</v>
      </c>
      <c r="AP16" s="117">
        <f>SUM(AP14:AP15)</f>
        <v>-0.40268456375838824</v>
      </c>
      <c r="AQ16" s="116">
        <f>SUM(AQ14:AQ15)</f>
        <v>22.147651006711428</v>
      </c>
      <c r="AR16" s="117"/>
      <c r="AS16" s="117">
        <f>SUM(AS14:AS15)</f>
        <v>5.9060402684563753</v>
      </c>
      <c r="AT16" s="117">
        <f>SUM(AT14:AT15)</f>
        <v>6.3087248322147635</v>
      </c>
      <c r="AU16" s="117">
        <f>SUM(AU14:AU15)</f>
        <v>7.7852348993288603</v>
      </c>
      <c r="AV16" s="117">
        <f>SUM(AV14:AV15)</f>
        <v>17.181208053691272</v>
      </c>
      <c r="AW16" s="116">
        <f>SUM(AW14:AW15)</f>
        <v>37.181208053691286</v>
      </c>
      <c r="AX16" s="117"/>
      <c r="AY16" s="117">
        <f>SUM(AY14:AY15)</f>
        <v>5.3691275167785246</v>
      </c>
      <c r="AZ16" s="117">
        <f>SUM(AZ14:AZ15)</f>
        <v>14.630872483221481</v>
      </c>
      <c r="BA16" s="117">
        <f>SUM(BA14:BA15)</f>
        <v>9.2617449664429543</v>
      </c>
      <c r="BB16" s="117">
        <f>SUM(BB14:BB15)</f>
        <v>17.449664429530195</v>
      </c>
      <c r="BC16" s="116">
        <f>SUM(BC14:BC15)</f>
        <v>46.711409395973142</v>
      </c>
      <c r="BD16" s="117"/>
      <c r="BE16" s="117">
        <f>SUM(BE14:BE15)</f>
        <v>18.255033557046978</v>
      </c>
      <c r="BF16" s="117">
        <f>SUM(BF14:BF15)</f>
        <v>7.9194630872483245</v>
      </c>
      <c r="BG16" s="117">
        <f>SUM(BG14:BG15)</f>
        <v>10.201342281879194</v>
      </c>
      <c r="BH16" s="117">
        <f>SUM(BH14:BH15)</f>
        <v>18.120805369127517</v>
      </c>
      <c r="BI16" s="116">
        <f>SUM(BI14:BI15)</f>
        <v>54.496644295301998</v>
      </c>
      <c r="BJ16" s="117"/>
      <c r="BK16" s="117">
        <f>SUM(BK14:BK15)</f>
        <v>16.644295302013429</v>
      </c>
      <c r="BL16" s="117">
        <f>SUM(BL14:BL15)</f>
        <v>-8.4563758389261743</v>
      </c>
      <c r="BM16" s="117">
        <f>SUM(BM14:BM15)</f>
        <v>10.067114093959729</v>
      </c>
      <c r="BN16" s="117">
        <f>SUM(BN14:BN15)</f>
        <v>9.8599999999999959</v>
      </c>
      <c r="BO16" s="116">
        <f>SUM(BO14:BO15)</f>
        <v>28.115033557046999</v>
      </c>
      <c r="BP16" s="117"/>
      <c r="BQ16" s="117">
        <f>SUM(BQ14:BQ15)</f>
        <v>15.000999999999998</v>
      </c>
      <c r="BR16" s="117">
        <f>SUM(BR14:BR15)</f>
        <v>27.4</v>
      </c>
      <c r="BS16" s="117"/>
      <c r="BT16" s="117"/>
      <c r="BU16" s="116">
        <f>SUM(BU14:BU15)</f>
        <v>42.400999999999989</v>
      </c>
      <c r="BV16" s="117"/>
      <c r="BW16" s="117"/>
    </row>
    <row r="17" spans="1:75" s="5" customFormat="1" ht="12.75" customHeight="1">
      <c r="A17" s="2" t="s">
        <v>81</v>
      </c>
      <c r="C17" s="117">
        <v>0.13422818791946309</v>
      </c>
      <c r="D17" s="117">
        <v>0</v>
      </c>
      <c r="E17" s="117">
        <v>0</v>
      </c>
      <c r="F17" s="117">
        <v>0</v>
      </c>
      <c r="G17" s="116">
        <f>SUM(C17:F17)</f>
        <v>0.13422818791946309</v>
      </c>
      <c r="H17" s="117"/>
      <c r="I17" s="117">
        <v>0</v>
      </c>
      <c r="J17" s="117">
        <v>0</v>
      </c>
      <c r="K17" s="117"/>
      <c r="L17" s="117"/>
      <c r="M17" s="116">
        <f>SUM(I17:L17)</f>
        <v>0</v>
      </c>
      <c r="N17" s="117"/>
      <c r="O17" s="117">
        <v>0</v>
      </c>
      <c r="P17" s="117" t="s">
        <v>54</v>
      </c>
      <c r="Q17" s="117"/>
      <c r="R17" s="117"/>
      <c r="S17" s="116">
        <f>SUM(O17:R17)</f>
        <v>0</v>
      </c>
      <c r="T17" s="117"/>
      <c r="U17" s="117">
        <v>0</v>
      </c>
      <c r="V17" s="117"/>
      <c r="W17" s="117"/>
      <c r="X17" s="117"/>
      <c r="Y17" s="116">
        <f>SUM(U17:X17)</f>
        <v>0</v>
      </c>
      <c r="Z17" s="117"/>
      <c r="AA17" s="117">
        <v>0</v>
      </c>
      <c r="AB17" s="117"/>
      <c r="AC17" s="117"/>
      <c r="AD17" s="117"/>
      <c r="AE17" s="116">
        <f>SUM(AA17:AD17)</f>
        <v>0</v>
      </c>
      <c r="AF17" s="117"/>
      <c r="AG17" s="31">
        <v>0</v>
      </c>
      <c r="AH17" s="31">
        <v>0</v>
      </c>
      <c r="AI17" s="31">
        <v>0</v>
      </c>
      <c r="AJ17" s="31">
        <v>0</v>
      </c>
      <c r="AK17" s="125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125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125">
        <f>SUM(AS17:AV17)</f>
        <v>189.26174496644293</v>
      </c>
      <c r="AX17" s="117"/>
      <c r="AY17" s="31"/>
      <c r="AZ17" s="31"/>
      <c r="BA17" s="31"/>
      <c r="BB17" s="31"/>
      <c r="BC17" s="125">
        <f>SUM(AY17:BB17)</f>
        <v>0</v>
      </c>
      <c r="BD17" s="117"/>
      <c r="BE17" s="31"/>
      <c r="BF17" s="31"/>
      <c r="BG17" s="31"/>
      <c r="BH17" s="31"/>
      <c r="BI17" s="125">
        <f>SUM(BE17:BH17)</f>
        <v>0</v>
      </c>
      <c r="BJ17" s="117"/>
      <c r="BK17" s="31"/>
      <c r="BL17" s="31"/>
      <c r="BM17" s="31"/>
      <c r="BN17" s="31"/>
      <c r="BO17" s="125">
        <f>SUM(BK17:BN17)</f>
        <v>0</v>
      </c>
      <c r="BP17" s="117"/>
      <c r="BQ17" s="31"/>
      <c r="BR17" s="31"/>
      <c r="BS17" s="31"/>
      <c r="BT17" s="31"/>
      <c r="BU17" s="125">
        <f>SUM(BQ17:BT17)</f>
        <v>0</v>
      </c>
      <c r="BV17" s="117"/>
      <c r="BW17" s="117"/>
    </row>
    <row r="18" spans="1:75" s="60" customFormat="1">
      <c r="A18" s="60" t="s">
        <v>6</v>
      </c>
      <c r="C18" s="118">
        <v>-0.93959731543624159</v>
      </c>
      <c r="D18" s="118">
        <v>-2.8187919463087248</v>
      </c>
      <c r="E18" s="118">
        <v>-2.8187919463087248</v>
      </c>
      <c r="F18" s="118">
        <v>-7.2483221476510069</v>
      </c>
      <c r="G18" s="119">
        <f>SUM(C18:F18)</f>
        <v>-13.825503355704697</v>
      </c>
      <c r="H18" s="118"/>
      <c r="I18" s="118">
        <v>-3.3557046979865772</v>
      </c>
      <c r="J18" s="118">
        <v>-11.275167785234899</v>
      </c>
      <c r="K18" s="118">
        <v>-6.3087248322147653</v>
      </c>
      <c r="L18" s="118">
        <v>-1.3422818791946309</v>
      </c>
      <c r="M18" s="119">
        <f>SUM(I18:L18)</f>
        <v>-22.281879194630871</v>
      </c>
      <c r="N18" s="118"/>
      <c r="O18" s="118">
        <v>-5.3691275167785237</v>
      </c>
      <c r="P18" s="118">
        <v>-11.275167785234899</v>
      </c>
      <c r="Q18" s="118">
        <v>-6.4429530201342278</v>
      </c>
      <c r="R18" s="118">
        <v>0.53691275167785235</v>
      </c>
      <c r="S18" s="119">
        <f>SUM(O18:R18)</f>
        <v>-22.550335570469798</v>
      </c>
      <c r="T18" s="118"/>
      <c r="U18" s="118">
        <v>-6.174496644295302</v>
      </c>
      <c r="V18" s="118">
        <v>-10.335570469798657</v>
      </c>
      <c r="W18" s="118">
        <v>-6.4429530201342278</v>
      </c>
      <c r="X18" s="118">
        <v>-2.2818791946308723</v>
      </c>
      <c r="Y18" s="119">
        <f>SUM(U18:X18)</f>
        <v>-25.234899328859061</v>
      </c>
      <c r="Z18" s="118"/>
      <c r="AA18" s="118">
        <v>-0.13422818791946309</v>
      </c>
      <c r="AB18" s="118">
        <v>-3.4899328859060401</v>
      </c>
      <c r="AC18" s="118">
        <v>-4.8322147651006713</v>
      </c>
      <c r="AD18" s="118">
        <v>1.3422818791946309</v>
      </c>
      <c r="AE18" s="119">
        <f>SUM(AA18:AD18)</f>
        <v>-7.1140939597315436</v>
      </c>
      <c r="AF18" s="118"/>
      <c r="AG18" s="118">
        <v>-3.7583892617449663</v>
      </c>
      <c r="AH18" s="118">
        <v>-5.5033557046979862</v>
      </c>
      <c r="AI18" s="118">
        <v>-3.3557046979865772</v>
      </c>
      <c r="AJ18" s="118">
        <v>2.5503355704697985</v>
      </c>
      <c r="AK18" s="119">
        <f>SUM(AG18:AJ18)</f>
        <v>-10.067114093959731</v>
      </c>
      <c r="AL18" s="118"/>
      <c r="AM18" s="118">
        <v>-0.40268456375838924</v>
      </c>
      <c r="AN18" s="118">
        <v>-0.67114093959731547</v>
      </c>
      <c r="AO18" s="118">
        <v>-4.8322147651006713</v>
      </c>
      <c r="AP18" s="118">
        <v>0.80536912751677847</v>
      </c>
      <c r="AQ18" s="119">
        <f>SUM(AM18:AP18)</f>
        <v>-5.1006711409395979</v>
      </c>
      <c r="AR18" s="118"/>
      <c r="AS18" s="118">
        <v>-1.7449664429530201</v>
      </c>
      <c r="AT18" s="118">
        <v>-1.6107382550335569</v>
      </c>
      <c r="AU18" s="118">
        <v>-2.8187919463087248</v>
      </c>
      <c r="AV18" s="118">
        <v>-4.6979865771812079</v>
      </c>
      <c r="AW18" s="119">
        <f>SUM(AS18:AV18)</f>
        <v>-10.872483221476511</v>
      </c>
      <c r="AX18" s="118"/>
      <c r="AY18" s="118">
        <v>-2.0134228187919461</v>
      </c>
      <c r="AZ18" s="118">
        <v>-4.4295302013422821</v>
      </c>
      <c r="BA18" s="118">
        <v>-2.1476510067114094</v>
      </c>
      <c r="BB18" s="118">
        <v>-4.1610738255033555</v>
      </c>
      <c r="BC18" s="119">
        <f>SUM(AY18:BB18)</f>
        <v>-12.751677852348994</v>
      </c>
      <c r="BD18" s="118"/>
      <c r="BE18" s="118">
        <v>-6.5771812080536911</v>
      </c>
      <c r="BF18" s="118">
        <v>-1.6107382550335569</v>
      </c>
      <c r="BG18" s="118">
        <v>-2.1476510067114094</v>
      </c>
      <c r="BH18" s="118">
        <v>-6.5771812080536911</v>
      </c>
      <c r="BI18" s="119">
        <f>SUM(BE18:BH18)</f>
        <v>-16.912751677852349</v>
      </c>
      <c r="BJ18" s="118"/>
      <c r="BK18" s="118">
        <v>-4.4295302013422821</v>
      </c>
      <c r="BL18" s="118">
        <v>-19.19463087248322</v>
      </c>
      <c r="BM18" s="118">
        <v>-0.40268456375838924</v>
      </c>
      <c r="BN18" s="118">
        <v>-2.9</v>
      </c>
      <c r="BO18" s="119">
        <f>SUM(BK18:BN18)</f>
        <v>-26.926845637583888</v>
      </c>
      <c r="BP18" s="118"/>
      <c r="BQ18" s="118">
        <v>-4.4000000000000004</v>
      </c>
      <c r="BR18" s="118">
        <v>-7.2</v>
      </c>
      <c r="BS18" s="118"/>
      <c r="BT18" s="118"/>
      <c r="BU18" s="119">
        <f>SUM(BQ18:BT18)</f>
        <v>-11.600000000000001</v>
      </c>
      <c r="BV18" s="118"/>
      <c r="BW18" s="118"/>
    </row>
    <row r="19" spans="1:75" s="61" customFormat="1" ht="18.75" customHeight="1">
      <c r="A19" s="61" t="s">
        <v>7</v>
      </c>
      <c r="C19" s="120">
        <f>SUM(C16:C18)</f>
        <v>7.1140939597315462</v>
      </c>
      <c r="D19" s="120">
        <f>SUM(D16:D18)</f>
        <v>14.093959731543624</v>
      </c>
      <c r="E19" s="120">
        <f>SUM(E16:E18)</f>
        <v>15.70469798657718</v>
      </c>
      <c r="F19" s="120">
        <f>SUM(F16:F18)</f>
        <v>11.543624161073826</v>
      </c>
      <c r="G19" s="121">
        <f>SUM(G16:G18)</f>
        <v>48.456375838926157</v>
      </c>
      <c r="H19" s="120"/>
      <c r="I19" s="120">
        <f>SUM(I16:I18)</f>
        <v>11.409395973154361</v>
      </c>
      <c r="J19" s="120">
        <f>SUM(J16:J18)</f>
        <v>30.604026845637577</v>
      </c>
      <c r="K19" s="120">
        <f>SUM(K16:K18)</f>
        <v>19.597315436241612</v>
      </c>
      <c r="L19" s="120">
        <f>SUM(L16:L18)</f>
        <v>19.328859060402685</v>
      </c>
      <c r="M19" s="121">
        <f>SUM(M16:M18)</f>
        <v>80.939597315436245</v>
      </c>
      <c r="N19" s="120"/>
      <c r="O19" s="120">
        <f>SUM(O16:O18)</f>
        <v>16.107382550335576</v>
      </c>
      <c r="P19" s="120">
        <f>SUM(P16:P18)</f>
        <v>30.067114093959731</v>
      </c>
      <c r="Q19" s="120">
        <f>SUM(Q16:Q18)</f>
        <v>22.416107382550337</v>
      </c>
      <c r="R19" s="120">
        <f>SUM(R16:R18)</f>
        <v>41.476510067114098</v>
      </c>
      <c r="S19" s="121">
        <f>SUM(S16:S18)</f>
        <v>110.06711409395973</v>
      </c>
      <c r="T19" s="120"/>
      <c r="U19" s="120">
        <f>SUM(U16:U18)</f>
        <v>18.523489932885898</v>
      </c>
      <c r="V19" s="120">
        <f>SUM(V16:V18)</f>
        <v>31.140939597315434</v>
      </c>
      <c r="W19" s="120">
        <f>SUM(W16:W18)</f>
        <v>18.65771812080537</v>
      </c>
      <c r="X19" s="120">
        <f>SUM(X16:X18)</f>
        <v>-14.09395973154362</v>
      </c>
      <c r="Y19" s="121">
        <f>SUM(Y16:Y18)</f>
        <v>54.228187919463096</v>
      </c>
      <c r="Z19" s="120"/>
      <c r="AA19" s="120">
        <f>SUM(AA16:AA18)</f>
        <v>-6.3837823915946501E-16</v>
      </c>
      <c r="AB19" s="120">
        <f>SUM(AB16:AB18)</f>
        <v>12.617449664429532</v>
      </c>
      <c r="AC19" s="120">
        <f>SUM(AC16:AC18)</f>
        <v>9.5302013422818792</v>
      </c>
      <c r="AD19" s="120">
        <f>SUM(AD16:AD18)</f>
        <v>9.7986577181208059</v>
      </c>
      <c r="AE19" s="121">
        <f>SUM(AE16:AE18)</f>
        <v>31.946308724832225</v>
      </c>
      <c r="AF19" s="120"/>
      <c r="AG19" s="120">
        <f>SUM(AG16:AG18)</f>
        <v>8.7248322147650992</v>
      </c>
      <c r="AH19" s="120">
        <f>SUM(AH16:AH18)</f>
        <v>13.020134228187922</v>
      </c>
      <c r="AI19" s="120">
        <f>SUM(AI16:AI18)</f>
        <v>10.738255033557049</v>
      </c>
      <c r="AJ19" s="120">
        <f>SUM(AJ16:AJ18)</f>
        <v>3.7583892617449641</v>
      </c>
      <c r="AK19" s="121">
        <f>SUM(AK16:AK18)</f>
        <v>36.241610738255027</v>
      </c>
      <c r="AL19" s="120"/>
      <c r="AM19" s="120">
        <f>SUM(AM16:AM18)</f>
        <v>6.8456375838926187</v>
      </c>
      <c r="AN19" s="120">
        <f>SUM(AN16:AN18)</f>
        <v>4.0268456375838939</v>
      </c>
      <c r="AO19" s="120">
        <f>SUM(AO16:AO18)</f>
        <v>5.7718120805369111</v>
      </c>
      <c r="AP19" s="120">
        <f>SUM(AP16:AP18)</f>
        <v>0.40268456375839023</v>
      </c>
      <c r="AQ19" s="121">
        <f>SUM(AQ16:AQ18)</f>
        <v>17.046979865771831</v>
      </c>
      <c r="AR19" s="120"/>
      <c r="AS19" s="120">
        <f>SUM(AS16:AS18)</f>
        <v>4.1610738255033555</v>
      </c>
      <c r="AT19" s="120">
        <f>SUM(AT16:AT18)</f>
        <v>193.15436241610735</v>
      </c>
      <c r="AU19" s="120">
        <f>SUM(AU16:AU18)</f>
        <v>4.9664429530201355</v>
      </c>
      <c r="AV19" s="120">
        <f>SUM(AV16:AV18)</f>
        <v>13.288590604026844</v>
      </c>
      <c r="AW19" s="121">
        <f>SUM(AW16:AW18)</f>
        <v>215.57046979865771</v>
      </c>
      <c r="AX19" s="120"/>
      <c r="AY19" s="120">
        <f>SUM(AY16:AY18)</f>
        <v>3.3557046979865786</v>
      </c>
      <c r="AZ19" s="120">
        <f>SUM(AZ16:AZ18)</f>
        <v>10.201342281879199</v>
      </c>
      <c r="BA19" s="120">
        <f>SUM(BA16:BA18)</f>
        <v>7.1140939597315445</v>
      </c>
      <c r="BB19" s="120">
        <f>SUM(BB16:BB18)</f>
        <v>13.28859060402684</v>
      </c>
      <c r="BC19" s="121">
        <f>SUM(BC16:BC18)</f>
        <v>33.959731543624144</v>
      </c>
      <c r="BD19" s="120"/>
      <c r="BE19" s="120">
        <f>SUM(BE16:BE18)</f>
        <v>11.677852348993287</v>
      </c>
      <c r="BF19" s="120">
        <f>SUM(BF16:BF18)</f>
        <v>6.308724832214768</v>
      </c>
      <c r="BG19" s="120">
        <f>SUM(BG16:BG18)</f>
        <v>8.0536912751677843</v>
      </c>
      <c r="BH19" s="120">
        <f>SUM(BH16:BH18)</f>
        <v>11.543624161073826</v>
      </c>
      <c r="BI19" s="121">
        <f>SUM(BI16:BI18)</f>
        <v>37.583892617449649</v>
      </c>
      <c r="BJ19" s="120"/>
      <c r="BK19" s="120">
        <f>SUM(BK16:BK18)</f>
        <v>12.214765100671148</v>
      </c>
      <c r="BL19" s="120">
        <f>SUM(BL16:BL18)</f>
        <v>-27.651006711409394</v>
      </c>
      <c r="BM19" s="120">
        <f>SUM(BM16:BM18)</f>
        <v>9.664429530201339</v>
      </c>
      <c r="BN19" s="120">
        <f>SUM(BN16:BN18)</f>
        <v>6.9599999999999955</v>
      </c>
      <c r="BO19" s="121">
        <f>SUM(BO16:BO18)</f>
        <v>1.1881879194631111</v>
      </c>
      <c r="BP19" s="120"/>
      <c r="BQ19" s="120">
        <f>SUM(BQ16:BQ18)</f>
        <v>10.600999999999997</v>
      </c>
      <c r="BR19" s="120">
        <f>SUM(BR16:BR18)</f>
        <v>20.2</v>
      </c>
      <c r="BS19" s="120"/>
      <c r="BT19" s="120"/>
      <c r="BU19" s="121">
        <f>SUM(BU16:BU18)</f>
        <v>30.800999999999988</v>
      </c>
      <c r="BV19" s="120"/>
      <c r="BW19" s="120"/>
    </row>
    <row r="20" spans="1:75" s="60" customFormat="1" ht="18.75" customHeight="1">
      <c r="A20" s="60" t="s">
        <v>8</v>
      </c>
      <c r="C20" s="118">
        <v>-0.13422818791946309</v>
      </c>
      <c r="D20" s="118">
        <v>-0.26845637583892618</v>
      </c>
      <c r="E20" s="118">
        <v>-0.26845637583892618</v>
      </c>
      <c r="F20" s="118">
        <v>0.13422818791946309</v>
      </c>
      <c r="G20" s="122">
        <f>SUM(C20:F20)</f>
        <v>-0.53691275167785224</v>
      </c>
      <c r="H20" s="118"/>
      <c r="I20" s="118">
        <v>0</v>
      </c>
      <c r="J20" s="118">
        <v>-1.0738255033557047</v>
      </c>
      <c r="K20" s="118">
        <v>-1.0738255033557047</v>
      </c>
      <c r="L20" s="118">
        <v>-0.67114093959731547</v>
      </c>
      <c r="M20" s="122">
        <f>SUM(I20:L20)</f>
        <v>-2.8187919463087248</v>
      </c>
      <c r="N20" s="118"/>
      <c r="O20" s="118">
        <v>-0.13422818791946309</v>
      </c>
      <c r="P20" s="118">
        <v>-0.53691275167785235</v>
      </c>
      <c r="Q20" s="118">
        <v>-0.53691275167785235</v>
      </c>
      <c r="R20" s="118">
        <v>-0.80536912751677847</v>
      </c>
      <c r="S20" s="122">
        <f>SUM(O20:R20)</f>
        <v>-2.0134228187919465</v>
      </c>
      <c r="T20" s="118"/>
      <c r="U20" s="118">
        <v>-0.26845637583892618</v>
      </c>
      <c r="V20" s="118">
        <v>-0.13422818791946309</v>
      </c>
      <c r="W20" s="118">
        <v>-0.67114093959731547</v>
      </c>
      <c r="X20" s="118">
        <v>0.67114093959731547</v>
      </c>
      <c r="Y20" s="122">
        <f>SUM(U20:X20)</f>
        <v>-0.40268456375838924</v>
      </c>
      <c r="Z20" s="118"/>
      <c r="AA20" s="118">
        <v>0.26845637583892618</v>
      </c>
      <c r="AB20" s="118">
        <v>0</v>
      </c>
      <c r="AC20" s="118">
        <v>-0.13422818791946309</v>
      </c>
      <c r="AD20" s="118">
        <v>0.26845637583892618</v>
      </c>
      <c r="AE20" s="122">
        <f>SUM(AA20:AD20)</f>
        <v>0.40268456375838924</v>
      </c>
      <c r="AF20" s="118"/>
      <c r="AG20" s="118">
        <v>0</v>
      </c>
      <c r="AH20" s="118">
        <v>-0.26845637583892618</v>
      </c>
      <c r="AI20" s="118">
        <v>-0.13422818791946309</v>
      </c>
      <c r="AJ20" s="118">
        <v>-0.13422818791946309</v>
      </c>
      <c r="AK20" s="122">
        <f>SUM(AG20:AJ20)</f>
        <v>-0.53691275167785235</v>
      </c>
      <c r="AL20" s="118"/>
      <c r="AM20" s="118">
        <v>0</v>
      </c>
      <c r="AN20" s="118">
        <v>0</v>
      </c>
      <c r="AO20" s="118">
        <v>-0.13422818791946309</v>
      </c>
      <c r="AP20" s="118">
        <v>-0.13422818791946309</v>
      </c>
      <c r="AQ20" s="122">
        <f>SUM(AM20:AP20)</f>
        <v>-0.26845637583892618</v>
      </c>
      <c r="AR20" s="118"/>
      <c r="AS20" s="118">
        <v>-0.13422818791946309</v>
      </c>
      <c r="AT20" s="118">
        <v>0.13422818791946309</v>
      </c>
      <c r="AU20" s="118">
        <v>-0.13422818791946309</v>
      </c>
      <c r="AV20" s="118">
        <v>-0.13422818791946309</v>
      </c>
      <c r="AW20" s="122">
        <f>SUM(AS20:AV20)</f>
        <v>-0.26845637583892618</v>
      </c>
      <c r="AX20" s="118"/>
      <c r="AY20" s="118">
        <v>0</v>
      </c>
      <c r="AZ20" s="118">
        <v>-0.13422818791946309</v>
      </c>
      <c r="BA20" s="118">
        <v>0</v>
      </c>
      <c r="BB20" s="118">
        <v>0</v>
      </c>
      <c r="BC20" s="122">
        <f>SUM(AY20:BB20)</f>
        <v>-0.13422818791946309</v>
      </c>
      <c r="BD20" s="118"/>
      <c r="BE20" s="118">
        <v>0</v>
      </c>
      <c r="BF20" s="118">
        <v>-0.13422818791946309</v>
      </c>
      <c r="BG20" s="118">
        <v>0</v>
      </c>
      <c r="BH20" s="118">
        <v>0.13422818791946309</v>
      </c>
      <c r="BI20" s="122">
        <f>SUM(BE20:BH20)</f>
        <v>0</v>
      </c>
      <c r="BJ20" s="118"/>
      <c r="BK20" s="118">
        <v>0</v>
      </c>
      <c r="BL20" s="118">
        <v>-0.13422818791946309</v>
      </c>
      <c r="BM20" s="118">
        <v>0</v>
      </c>
      <c r="BN20" s="118">
        <v>-0.1</v>
      </c>
      <c r="BO20" s="122">
        <f>SUM(BK20:BN20)</f>
        <v>-0.23422818791946309</v>
      </c>
      <c r="BP20" s="118"/>
      <c r="BQ20" s="118">
        <v>0</v>
      </c>
      <c r="BR20" s="118">
        <v>0</v>
      </c>
      <c r="BS20" s="118"/>
      <c r="BT20" s="118"/>
      <c r="BU20" s="122">
        <f>SUM(BQ20:BT20)</f>
        <v>0</v>
      </c>
      <c r="BV20" s="118"/>
      <c r="BW20" s="118"/>
    </row>
    <row r="21" spans="1:75" s="61" customFormat="1" ht="18.75" customHeight="1">
      <c r="A21" s="61" t="s">
        <v>9</v>
      </c>
      <c r="C21" s="123">
        <f>SUM(C19:C20)</f>
        <v>6.9798657718120829</v>
      </c>
      <c r="D21" s="123">
        <f>SUM(D19:D20)</f>
        <v>13.825503355704697</v>
      </c>
      <c r="E21" s="123">
        <f>SUM(E19:E20)</f>
        <v>15.436241610738254</v>
      </c>
      <c r="F21" s="123">
        <f>SUM(F19:F20)</f>
        <v>11.677852348993289</v>
      </c>
      <c r="G21" s="124">
        <f>SUM(G19:G20)</f>
        <v>47.919463087248303</v>
      </c>
      <c r="H21" s="120"/>
      <c r="I21" s="123">
        <f>SUM(I19:I20)</f>
        <v>11.409395973154361</v>
      </c>
      <c r="J21" s="123">
        <f>SUM(J19:J20)</f>
        <v>29.530201342281874</v>
      </c>
      <c r="K21" s="123">
        <f>SUM(K19:K20)</f>
        <v>18.523489932885909</v>
      </c>
      <c r="L21" s="123">
        <f>SUM(L19:L20)</f>
        <v>18.65771812080537</v>
      </c>
      <c r="M21" s="124">
        <f>SUM(M19:M20)</f>
        <v>78.120805369127524</v>
      </c>
      <c r="N21" s="120"/>
      <c r="O21" s="123">
        <f>SUM(O19:O20)</f>
        <v>15.973154362416112</v>
      </c>
      <c r="P21" s="123">
        <f>SUM(P19:P20)</f>
        <v>29.530201342281877</v>
      </c>
      <c r="Q21" s="123">
        <f>SUM(Q19:Q20)</f>
        <v>21.879194630872483</v>
      </c>
      <c r="R21" s="123">
        <f>SUM(R19:R20)</f>
        <v>40.671140939597322</v>
      </c>
      <c r="S21" s="124">
        <f>SUM(S19:S20)</f>
        <v>108.05369127516778</v>
      </c>
      <c r="T21" s="120"/>
      <c r="U21" s="123">
        <f>SUM(U19:U20)</f>
        <v>18.255033557046971</v>
      </c>
      <c r="V21" s="123">
        <f>SUM(V19:V20)</f>
        <v>31.006711409395972</v>
      </c>
      <c r="W21" s="123">
        <f>SUM(W19:W20)</f>
        <v>17.986577181208055</v>
      </c>
      <c r="X21" s="123">
        <f>SUM(X19:X20)</f>
        <v>-13.422818791946305</v>
      </c>
      <c r="Y21" s="124">
        <f>SUM(Y19:Y20)</f>
        <v>53.825503355704704</v>
      </c>
      <c r="Z21" s="120"/>
      <c r="AA21" s="123">
        <f>SUM(AA19:AA20)</f>
        <v>0.26845637583892556</v>
      </c>
      <c r="AB21" s="123">
        <f>SUM(AB19:AB20)</f>
        <v>12.617449664429532</v>
      </c>
      <c r="AC21" s="123">
        <f>SUM(AC19:AC20)</f>
        <v>9.3959731543624159</v>
      </c>
      <c r="AD21" s="123">
        <f>SUM(AD19:AD20)</f>
        <v>10.067114093959733</v>
      </c>
      <c r="AE21" s="124">
        <f>SUM(AE19:AE20)</f>
        <v>32.348993288590613</v>
      </c>
      <c r="AF21" s="120"/>
      <c r="AG21" s="123">
        <f>SUM(AG19:AG20)</f>
        <v>8.7248322147650992</v>
      </c>
      <c r="AH21" s="123">
        <f>SUM(AH19:AH20)</f>
        <v>12.751677852348996</v>
      </c>
      <c r="AI21" s="123">
        <f>SUM(AI19:AI20)</f>
        <v>10.604026845637586</v>
      </c>
      <c r="AJ21" s="123">
        <f>SUM(AJ19:AJ20)</f>
        <v>3.6241610738255012</v>
      </c>
      <c r="AK21" s="124">
        <f>SUM(AK19:AK20)</f>
        <v>35.704697986577173</v>
      </c>
      <c r="AL21" s="120"/>
      <c r="AM21" s="123">
        <f>SUM(AM19:AM20)</f>
        <v>6.8456375838926187</v>
      </c>
      <c r="AN21" s="123">
        <f>SUM(AN19:AN20)</f>
        <v>4.0268456375838939</v>
      </c>
      <c r="AO21" s="123">
        <f>SUM(AO19:AO20)</f>
        <v>5.6375838926174477</v>
      </c>
      <c r="AP21" s="123">
        <v>-1</v>
      </c>
      <c r="AQ21" s="124">
        <f>SUM(AQ19:AQ20)</f>
        <v>16.778523489932905</v>
      </c>
      <c r="AR21" s="120"/>
      <c r="AS21" s="123">
        <f>SUM(AS19:AS20)</f>
        <v>4.0268456375838921</v>
      </c>
      <c r="AT21" s="123">
        <f>SUM(AT19:AT20)</f>
        <v>193.28859060402681</v>
      </c>
      <c r="AU21" s="123">
        <f>SUM(AU19:AU20)</f>
        <v>4.8322147651006722</v>
      </c>
      <c r="AV21" s="123">
        <f>SUM(AV19:AV20)</f>
        <v>13.15436241610738</v>
      </c>
      <c r="AW21" s="124">
        <f>SUM(AW19:AW20)</f>
        <v>215.30201342281879</v>
      </c>
      <c r="AX21" s="120"/>
      <c r="AY21" s="123">
        <f>SUM(AY19:AY20)</f>
        <v>3.3557046979865786</v>
      </c>
      <c r="AZ21" s="123">
        <f>SUM(AZ19:AZ20)</f>
        <v>10.067114093959736</v>
      </c>
      <c r="BA21" s="123">
        <f>SUM(BA19:BA20)</f>
        <v>7.1140939597315445</v>
      </c>
      <c r="BB21" s="123">
        <f>SUM(BB19:BB20)</f>
        <v>13.28859060402684</v>
      </c>
      <c r="BC21" s="124">
        <f>SUM(BC19:BC20)</f>
        <v>33.825503355704683</v>
      </c>
      <c r="BD21" s="120"/>
      <c r="BE21" s="123">
        <f>SUM(BE19:BE20)</f>
        <v>11.677852348993287</v>
      </c>
      <c r="BF21" s="123">
        <f>SUM(BF19:BF20)</f>
        <v>6.1744966442953046</v>
      </c>
      <c r="BG21" s="123">
        <f>SUM(BG19:BG20)</f>
        <v>8.0536912751677843</v>
      </c>
      <c r="BH21" s="123">
        <f>SUM(BH19:BH20)</f>
        <v>11.677852348993289</v>
      </c>
      <c r="BI21" s="124">
        <f>SUM(BI19:BI20)</f>
        <v>37.583892617449649</v>
      </c>
      <c r="BJ21" s="120"/>
      <c r="BK21" s="123">
        <f>SUM(BK19:BK20)</f>
        <v>12.214765100671148</v>
      </c>
      <c r="BL21" s="123">
        <f>SUM(BL19:BL20)</f>
        <v>-27.785234899328856</v>
      </c>
      <c r="BM21" s="123">
        <f>SUM(BM19:BM20)</f>
        <v>9.664429530201339</v>
      </c>
      <c r="BN21" s="123">
        <f>SUM(BN19:BN20)</f>
        <v>6.8599999999999959</v>
      </c>
      <c r="BO21" s="124">
        <f>SUM(BO19:BO20)</f>
        <v>0.95395973154364799</v>
      </c>
      <c r="BP21" s="120"/>
      <c r="BQ21" s="123">
        <f>SUM(BQ19:BQ20)</f>
        <v>10.600999999999997</v>
      </c>
      <c r="BR21" s="123">
        <f>SUM(BR19:BR20)</f>
        <v>20.2</v>
      </c>
      <c r="BS21" s="123"/>
      <c r="BT21" s="123"/>
      <c r="BU21" s="124">
        <f>SUM(BU19:BU20)</f>
        <v>30.800999999999988</v>
      </c>
      <c r="BV21" s="120"/>
      <c r="BW21" s="120"/>
    </row>
    <row r="22" spans="1:75"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31"/>
      <c r="AE22" s="116"/>
      <c r="AF22" s="31"/>
      <c r="AG22" s="31"/>
      <c r="AH22" s="31"/>
      <c r="AI22" s="31"/>
      <c r="AJ22" s="31"/>
      <c r="AK22" s="116"/>
      <c r="AL22" s="31"/>
      <c r="AM22" s="31"/>
      <c r="AN22" s="31"/>
      <c r="AO22" s="31"/>
      <c r="AP22" s="31"/>
      <c r="AQ22" s="116"/>
      <c r="AR22" s="31"/>
      <c r="AS22" s="31"/>
      <c r="AT22" s="31"/>
      <c r="AU22" s="31"/>
      <c r="AV22" s="31"/>
      <c r="AW22" s="116"/>
      <c r="AX22" s="31"/>
      <c r="AY22" s="31"/>
      <c r="AZ22" s="31"/>
      <c r="BA22" s="31"/>
      <c r="BB22" s="31"/>
      <c r="BC22" s="116"/>
      <c r="BD22" s="31"/>
      <c r="BE22" s="31"/>
      <c r="BF22" s="31"/>
      <c r="BG22" s="31"/>
      <c r="BH22" s="31"/>
      <c r="BI22" s="116"/>
      <c r="BJ22" s="31"/>
      <c r="BK22" s="31"/>
      <c r="BL22" s="31"/>
      <c r="BM22" s="31"/>
      <c r="BN22" s="31"/>
      <c r="BO22" s="116"/>
      <c r="BP22" s="31"/>
      <c r="BQ22" s="31"/>
      <c r="BR22" s="31"/>
      <c r="BS22" s="31"/>
      <c r="BT22" s="31"/>
      <c r="BU22" s="116"/>
      <c r="BV22" s="31"/>
      <c r="BW22" s="31"/>
    </row>
    <row r="23" spans="1:75"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31"/>
      <c r="AE23" s="116"/>
      <c r="AF23" s="31"/>
      <c r="AG23" s="31"/>
      <c r="AH23" s="31"/>
      <c r="AI23" s="31"/>
      <c r="AJ23" s="31"/>
      <c r="AK23" s="116"/>
      <c r="AL23" s="31"/>
      <c r="AM23" s="31"/>
      <c r="AN23" s="31"/>
      <c r="AO23" s="31"/>
      <c r="AP23" s="31"/>
      <c r="AQ23" s="116"/>
      <c r="AR23" s="31"/>
      <c r="AS23" s="31"/>
      <c r="AT23" s="31"/>
      <c r="AU23" s="31"/>
      <c r="AV23" s="31"/>
      <c r="AW23" s="116"/>
      <c r="AX23" s="31"/>
      <c r="AY23" s="31"/>
      <c r="AZ23" s="31"/>
      <c r="BA23" s="31"/>
      <c r="BB23" s="31"/>
      <c r="BC23" s="116"/>
      <c r="BD23" s="31"/>
      <c r="BE23" s="31"/>
      <c r="BF23" s="31"/>
      <c r="BG23" s="31"/>
      <c r="BH23" s="31"/>
      <c r="BI23" s="116"/>
      <c r="BJ23" s="31"/>
      <c r="BK23" s="31"/>
      <c r="BL23" s="31"/>
      <c r="BM23" s="31"/>
      <c r="BN23" s="31"/>
      <c r="BO23" s="116"/>
      <c r="BP23" s="31"/>
      <c r="BQ23" s="31"/>
      <c r="BR23" s="31"/>
      <c r="BS23" s="31"/>
      <c r="BT23" s="31"/>
      <c r="BU23" s="116"/>
      <c r="BV23" s="31"/>
      <c r="BW23" s="31"/>
    </row>
    <row r="24" spans="1:75">
      <c r="A24" s="5" t="s">
        <v>207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125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125">
        <f>+'Segment Data'!M16</f>
        <v>1208.0536912751677</v>
      </c>
      <c r="N24" s="31"/>
      <c r="O24" s="31">
        <v>340.80536912751677</v>
      </c>
      <c r="P24" s="31">
        <v>385.1006711409396</v>
      </c>
      <c r="Q24" s="126">
        <v>351.54362416107381</v>
      </c>
      <c r="R24" s="126">
        <v>371.94630872483219</v>
      </c>
      <c r="S24" s="125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125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125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125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125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125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125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125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125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/>
      <c r="BT24" s="31"/>
      <c r="BU24" s="125">
        <f>SUM(BQ24:BT24)</f>
        <v>911.39999999999986</v>
      </c>
      <c r="BV24" s="31"/>
      <c r="BW24" s="31"/>
    </row>
    <row r="25" spans="1:75">
      <c r="C25" s="31"/>
      <c r="D25" s="31"/>
      <c r="E25" s="31"/>
      <c r="F25" s="31"/>
      <c r="G25" s="116"/>
      <c r="H25" s="31"/>
      <c r="I25" s="31"/>
      <c r="J25" s="31"/>
      <c r="K25" s="31"/>
      <c r="L25" s="31"/>
      <c r="M25" s="116"/>
      <c r="N25" s="31"/>
      <c r="O25" s="31"/>
      <c r="P25" s="31"/>
      <c r="Q25" s="31"/>
      <c r="R25" s="31"/>
      <c r="S25" s="116"/>
      <c r="T25" s="31"/>
      <c r="U25" s="31"/>
      <c r="V25" s="31"/>
      <c r="W25" s="31"/>
      <c r="X25" s="31"/>
      <c r="Y25" s="116"/>
      <c r="Z25" s="31"/>
      <c r="AA25" s="31"/>
      <c r="AB25" s="31"/>
      <c r="AC25" s="31"/>
      <c r="AD25" s="31"/>
      <c r="AE25" s="116"/>
      <c r="AF25" s="31"/>
      <c r="AG25" s="31"/>
      <c r="AH25" s="31"/>
      <c r="AI25" s="31"/>
      <c r="AJ25" s="31"/>
      <c r="AK25" s="116"/>
      <c r="AL25" s="31"/>
      <c r="AM25" s="31"/>
      <c r="AN25" s="31"/>
      <c r="AO25" s="31"/>
      <c r="AP25" s="31"/>
      <c r="AQ25" s="116"/>
      <c r="AR25" s="31"/>
      <c r="AS25" s="31"/>
      <c r="AT25" s="31"/>
      <c r="AU25" s="31"/>
      <c r="AV25" s="31"/>
      <c r="AW25" s="116"/>
      <c r="AX25" s="31"/>
      <c r="AY25" s="31"/>
      <c r="AZ25" s="31"/>
      <c r="BA25" s="31"/>
      <c r="BB25" s="31"/>
      <c r="BC25" s="116"/>
      <c r="BD25" s="31"/>
      <c r="BE25" s="31"/>
      <c r="BF25" s="31"/>
      <c r="BG25" s="31"/>
      <c r="BH25" s="31"/>
      <c r="BI25" s="116"/>
      <c r="BJ25" s="31"/>
      <c r="BK25" s="31"/>
      <c r="BL25" s="31"/>
      <c r="BM25" s="31"/>
      <c r="BN25" s="31"/>
      <c r="BO25" s="116"/>
      <c r="BP25" s="31"/>
      <c r="BQ25" s="31"/>
      <c r="BR25" s="31"/>
      <c r="BS25" s="31"/>
      <c r="BT25" s="31"/>
      <c r="BU25" s="116"/>
      <c r="BV25" s="31"/>
      <c r="BW25" s="31"/>
    </row>
    <row r="26" spans="1:75" s="56" customFormat="1">
      <c r="A26" s="53" t="s">
        <v>15</v>
      </c>
      <c r="C26" s="130"/>
      <c r="D26" s="130"/>
      <c r="E26" s="130"/>
      <c r="F26" s="130"/>
      <c r="G26" s="131"/>
      <c r="H26" s="132"/>
      <c r="I26" s="130"/>
      <c r="J26" s="130"/>
      <c r="K26" s="130"/>
      <c r="L26" s="130"/>
      <c r="M26" s="131"/>
      <c r="N26" s="132"/>
      <c r="O26" s="130"/>
      <c r="P26" s="130"/>
      <c r="Q26" s="130"/>
      <c r="R26" s="130"/>
      <c r="S26" s="131"/>
      <c r="T26" s="132"/>
      <c r="U26" s="130" t="s">
        <v>10</v>
      </c>
      <c r="V26" s="130" t="s">
        <v>11</v>
      </c>
      <c r="W26" s="130" t="s">
        <v>12</v>
      </c>
      <c r="X26" s="130" t="s">
        <v>13</v>
      </c>
      <c r="Y26" s="131"/>
      <c r="Z26" s="132"/>
      <c r="AA26" s="130" t="s">
        <v>10</v>
      </c>
      <c r="AB26" s="130" t="s">
        <v>11</v>
      </c>
      <c r="AC26" s="130" t="s">
        <v>12</v>
      </c>
      <c r="AD26" s="130" t="s">
        <v>13</v>
      </c>
      <c r="AE26" s="131"/>
      <c r="AF26" s="132"/>
      <c r="AG26" s="130" t="s">
        <v>10</v>
      </c>
      <c r="AH26" s="130" t="s">
        <v>11</v>
      </c>
      <c r="AI26" s="130" t="s">
        <v>12</v>
      </c>
      <c r="AJ26" s="130" t="s">
        <v>13</v>
      </c>
      <c r="AK26" s="131"/>
      <c r="AL26" s="132"/>
      <c r="AM26" s="130" t="s">
        <v>10</v>
      </c>
      <c r="AN26" s="130" t="s">
        <v>11</v>
      </c>
      <c r="AO26" s="130" t="s">
        <v>12</v>
      </c>
      <c r="AP26" s="130" t="s">
        <v>13</v>
      </c>
      <c r="AQ26" s="131"/>
      <c r="AR26" s="132"/>
      <c r="AS26" s="130" t="s">
        <v>10</v>
      </c>
      <c r="AT26" s="130" t="s">
        <v>11</v>
      </c>
      <c r="AU26" s="130" t="s">
        <v>12</v>
      </c>
      <c r="AV26" s="130" t="s">
        <v>13</v>
      </c>
      <c r="AW26" s="131"/>
      <c r="AX26" s="132"/>
      <c r="AY26" s="130" t="s">
        <v>10</v>
      </c>
      <c r="AZ26" s="130" t="s">
        <v>11</v>
      </c>
      <c r="BA26" s="130" t="s">
        <v>12</v>
      </c>
      <c r="BB26" s="130" t="s">
        <v>13</v>
      </c>
      <c r="BC26" s="131"/>
      <c r="BD26" s="132"/>
      <c r="BE26" s="130" t="s">
        <v>10</v>
      </c>
      <c r="BF26" s="130" t="s">
        <v>11</v>
      </c>
      <c r="BG26" s="130" t="s">
        <v>12</v>
      </c>
      <c r="BH26" s="130" t="s">
        <v>13</v>
      </c>
      <c r="BI26" s="131"/>
      <c r="BJ26" s="132"/>
      <c r="BK26" s="130" t="s">
        <v>10</v>
      </c>
      <c r="BL26" s="130" t="s">
        <v>11</v>
      </c>
      <c r="BM26" s="130" t="s">
        <v>12</v>
      </c>
      <c r="BN26" s="130" t="s">
        <v>13</v>
      </c>
      <c r="BO26" s="131"/>
      <c r="BP26" s="132"/>
      <c r="BQ26" s="130" t="s">
        <v>10</v>
      </c>
      <c r="BR26" s="130" t="s">
        <v>11</v>
      </c>
      <c r="BS26" s="130" t="s">
        <v>12</v>
      </c>
      <c r="BT26" s="130" t="s">
        <v>13</v>
      </c>
      <c r="BU26" s="131"/>
      <c r="BV26" s="132"/>
      <c r="BW26" s="132"/>
    </row>
    <row r="27" spans="1:75">
      <c r="A27" s="2" t="s">
        <v>157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116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116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116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116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116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116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116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116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116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116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116"/>
      <c r="BP27" s="31"/>
      <c r="BQ27" s="31">
        <v>65.400000000000006</v>
      </c>
      <c r="BR27" s="31">
        <v>65.400000000000006</v>
      </c>
      <c r="BS27" s="31"/>
      <c r="BT27" s="31"/>
      <c r="BU27" s="116"/>
      <c r="BV27" s="31"/>
      <c r="BW27" s="31"/>
    </row>
    <row r="28" spans="1:75">
      <c r="A28" s="2" t="s">
        <v>158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116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116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116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116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116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116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116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116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116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116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116"/>
      <c r="BP28" s="31"/>
      <c r="BQ28" s="31">
        <v>802.1</v>
      </c>
      <c r="BR28" s="31">
        <v>801.7</v>
      </c>
      <c r="BS28" s="31"/>
      <c r="BT28" s="31"/>
      <c r="BU28" s="116"/>
      <c r="BV28" s="31"/>
      <c r="BW28" s="31"/>
    </row>
    <row r="29" spans="1:75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116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116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116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116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116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116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116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116"/>
      <c r="AX29" s="31"/>
      <c r="AY29" s="31">
        <v>1833.6912751677851</v>
      </c>
      <c r="AZ29" s="31">
        <v>1804.6979865771812</v>
      </c>
      <c r="BA29" s="31">
        <f>(+'Balance Sheet'!AS28)/7.45</f>
        <v>243.84487185261926</v>
      </c>
      <c r="BB29" s="31">
        <v>1744.2953020134228</v>
      </c>
      <c r="BC29" s="116"/>
      <c r="BD29" s="31"/>
      <c r="BE29" s="31">
        <f>(+'Balance Sheet'!AV28)/7.45</f>
        <v>236.71005810549073</v>
      </c>
      <c r="BF29" s="31">
        <f>(+'Balance Sheet'!AW28)/7.45</f>
        <v>235.14256114589432</v>
      </c>
      <c r="BG29" s="31">
        <f>(+'Balance Sheet'!AX28)/7.45</f>
        <v>242.00711679654069</v>
      </c>
      <c r="BH29" s="31">
        <f>(+'Balance Sheet'!AY28)/7.45</f>
        <v>222.29629295977659</v>
      </c>
      <c r="BI29" s="116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116"/>
      <c r="BP29" s="31"/>
      <c r="BQ29" s="31">
        <f>+'Balance Sheet'!BF18</f>
        <v>1736.4</v>
      </c>
      <c r="BR29" s="31">
        <v>1787.2</v>
      </c>
      <c r="BS29" s="31"/>
      <c r="BT29" s="31"/>
      <c r="BU29" s="116"/>
      <c r="BV29" s="31"/>
      <c r="BW29" s="31"/>
    </row>
    <row r="30" spans="1:75">
      <c r="A30" s="2" t="s">
        <v>208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116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116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116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116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116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116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116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116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116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116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116"/>
      <c r="BP30" s="31"/>
      <c r="BQ30" s="31">
        <v>-158.9</v>
      </c>
      <c r="BR30" s="31">
        <v>-188.2</v>
      </c>
      <c r="BS30" s="31"/>
      <c r="BT30" s="31"/>
      <c r="BU30" s="116"/>
      <c r="BV30" s="31"/>
      <c r="BW30" s="31"/>
    </row>
    <row r="31" spans="1:75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116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116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116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116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116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116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116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116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116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116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116"/>
      <c r="BP31" s="31"/>
      <c r="BQ31" s="31">
        <f>(+'Segment Data'!BQ78)</f>
        <v>974.9</v>
      </c>
      <c r="BR31" s="31">
        <f>(+'Segment Data'!BR78)</f>
        <v>989.9</v>
      </c>
      <c r="BS31" s="31"/>
      <c r="BT31" s="31"/>
      <c r="BU31" s="116"/>
      <c r="BV31" s="31"/>
      <c r="BW31" s="31"/>
    </row>
    <row r="32" spans="1:75">
      <c r="C32" s="31"/>
      <c r="D32" s="31"/>
      <c r="E32" s="31"/>
      <c r="F32" s="31"/>
      <c r="G32" s="116"/>
      <c r="H32" s="31"/>
      <c r="I32" s="31"/>
      <c r="J32" s="31"/>
      <c r="K32" s="31"/>
      <c r="L32" s="31"/>
      <c r="M32" s="116"/>
      <c r="N32" s="31"/>
      <c r="O32" s="31"/>
      <c r="P32" s="31"/>
      <c r="Q32" s="31"/>
      <c r="R32" s="31"/>
      <c r="S32" s="116"/>
      <c r="T32" s="31"/>
      <c r="U32" s="31"/>
      <c r="V32" s="31"/>
      <c r="W32" s="31"/>
      <c r="X32" s="31"/>
      <c r="Y32" s="116"/>
      <c r="Z32" s="31"/>
      <c r="AA32" s="31"/>
      <c r="AB32" s="31"/>
      <c r="AC32" s="31"/>
      <c r="AD32" s="31"/>
      <c r="AE32" s="116"/>
      <c r="AF32" s="31"/>
      <c r="AG32" s="31"/>
      <c r="AH32" s="31"/>
      <c r="AI32" s="31"/>
      <c r="AJ32" s="31"/>
      <c r="AK32" s="116"/>
      <c r="AL32" s="31"/>
      <c r="AM32" s="31"/>
      <c r="AN32" s="31"/>
      <c r="AO32" s="31"/>
      <c r="AP32" s="31"/>
      <c r="AQ32" s="116"/>
      <c r="AR32" s="31"/>
      <c r="AS32" s="31"/>
      <c r="AT32" s="31"/>
      <c r="AU32" s="31"/>
      <c r="AV32" s="31"/>
      <c r="AW32" s="116"/>
      <c r="AX32" s="31"/>
      <c r="AY32" s="31"/>
      <c r="AZ32" s="31"/>
      <c r="BA32" s="31"/>
      <c r="BB32" s="31"/>
      <c r="BC32" s="116"/>
      <c r="BD32" s="31"/>
      <c r="BE32" s="31"/>
      <c r="BF32" s="31"/>
      <c r="BG32" s="31"/>
      <c r="BH32" s="31"/>
      <c r="BI32" s="116"/>
      <c r="BJ32" s="31"/>
      <c r="BK32" s="31"/>
      <c r="BL32" s="31"/>
      <c r="BM32" s="31"/>
      <c r="BN32" s="31"/>
      <c r="BO32" s="116"/>
      <c r="BP32" s="31"/>
      <c r="BQ32" s="31"/>
      <c r="BR32" s="31"/>
      <c r="BS32" s="31"/>
      <c r="BT32" s="31"/>
      <c r="BU32" s="116"/>
      <c r="BV32" s="31"/>
      <c r="BW32" s="31"/>
    </row>
    <row r="33" spans="1:75" s="55" customFormat="1">
      <c r="A33" s="53" t="s">
        <v>48</v>
      </c>
      <c r="C33" s="130"/>
      <c r="D33" s="130"/>
      <c r="E33" s="130"/>
      <c r="F33" s="130"/>
      <c r="G33" s="131"/>
      <c r="H33" s="133"/>
      <c r="I33" s="130"/>
      <c r="J33" s="130"/>
      <c r="K33" s="130"/>
      <c r="L33" s="130"/>
      <c r="M33" s="131"/>
      <c r="N33" s="133"/>
      <c r="O33" s="130"/>
      <c r="P33" s="130"/>
      <c r="Q33" s="130"/>
      <c r="R33" s="130"/>
      <c r="S33" s="131"/>
      <c r="T33" s="133"/>
      <c r="U33" s="130"/>
      <c r="V33" s="130"/>
      <c r="W33" s="130"/>
      <c r="X33" s="130"/>
      <c r="Y33" s="131"/>
      <c r="Z33" s="133"/>
      <c r="AA33" s="130"/>
      <c r="AB33" s="130"/>
      <c r="AC33" s="130"/>
      <c r="AD33" s="130"/>
      <c r="AE33" s="131"/>
      <c r="AF33" s="133"/>
      <c r="AG33" s="130"/>
      <c r="AH33" s="130"/>
      <c r="AI33" s="130"/>
      <c r="AJ33" s="130"/>
      <c r="AK33" s="131"/>
      <c r="AL33" s="133"/>
      <c r="AM33" s="130"/>
      <c r="AN33" s="130"/>
      <c r="AO33" s="130"/>
      <c r="AP33" s="130"/>
      <c r="AQ33" s="131"/>
      <c r="AR33" s="133"/>
      <c r="AS33" s="130"/>
      <c r="AT33" s="130"/>
      <c r="AU33" s="130"/>
      <c r="AV33" s="130"/>
      <c r="AW33" s="131"/>
      <c r="AX33" s="133"/>
      <c r="AY33" s="130"/>
      <c r="AZ33" s="130"/>
      <c r="BA33" s="130"/>
      <c r="BB33" s="130"/>
      <c r="BC33" s="131"/>
      <c r="BD33" s="133"/>
      <c r="BE33" s="130"/>
      <c r="BF33" s="130"/>
      <c r="BG33" s="130"/>
      <c r="BH33" s="130"/>
      <c r="BI33" s="131"/>
      <c r="BJ33" s="133"/>
      <c r="BK33" s="130"/>
      <c r="BL33" s="130"/>
      <c r="BM33" s="130"/>
      <c r="BN33" s="130"/>
      <c r="BO33" s="131"/>
      <c r="BP33" s="133"/>
      <c r="BQ33" s="130"/>
      <c r="BR33" s="130"/>
      <c r="BS33" s="130"/>
      <c r="BT33" s="130"/>
      <c r="BU33" s="131"/>
      <c r="BV33" s="133"/>
      <c r="BW33" s="133"/>
    </row>
    <row r="34" spans="1:75" ht="3.75" customHeight="1">
      <c r="C34" s="31"/>
      <c r="D34" s="31"/>
      <c r="E34" s="31"/>
      <c r="F34" s="31"/>
      <c r="G34" s="116"/>
      <c r="H34" s="31"/>
      <c r="I34" s="31"/>
      <c r="J34" s="31"/>
      <c r="K34" s="31"/>
      <c r="L34" s="31"/>
      <c r="M34" s="116"/>
      <c r="N34" s="31"/>
      <c r="O34" s="31"/>
      <c r="P34" s="31"/>
      <c r="Q34" s="31"/>
      <c r="R34" s="31"/>
      <c r="S34" s="116"/>
      <c r="T34" s="31"/>
      <c r="U34" s="31"/>
      <c r="V34" s="31"/>
      <c r="W34" s="31"/>
      <c r="X34" s="31"/>
      <c r="Y34" s="116"/>
      <c r="Z34" s="31"/>
      <c r="AA34" s="31"/>
      <c r="AB34" s="31"/>
      <c r="AC34" s="31"/>
      <c r="AD34" s="31"/>
      <c r="AE34" s="116"/>
      <c r="AF34" s="31"/>
      <c r="AG34" s="31"/>
      <c r="AH34" s="31"/>
      <c r="AI34" s="31"/>
      <c r="AJ34" s="31"/>
      <c r="AK34" s="116"/>
      <c r="AL34" s="31"/>
      <c r="AM34" s="31"/>
      <c r="AN34" s="31"/>
      <c r="AO34" s="31"/>
      <c r="AP34" s="31"/>
      <c r="AQ34" s="116"/>
      <c r="AR34" s="31"/>
      <c r="AS34" s="31"/>
      <c r="AT34" s="31"/>
      <c r="AU34" s="31"/>
      <c r="AV34" s="31"/>
      <c r="AW34" s="116"/>
      <c r="AX34" s="31"/>
      <c r="AY34" s="31"/>
      <c r="AZ34" s="31"/>
      <c r="BA34" s="31"/>
      <c r="BB34" s="31"/>
      <c r="BC34" s="116"/>
      <c r="BD34" s="31"/>
      <c r="BE34" s="31"/>
      <c r="BF34" s="31"/>
      <c r="BG34" s="31"/>
      <c r="BH34" s="31"/>
      <c r="BI34" s="116"/>
      <c r="BJ34" s="31"/>
      <c r="BK34" s="31"/>
      <c r="BL34" s="31"/>
      <c r="BM34" s="31"/>
      <c r="BN34" s="31"/>
      <c r="BO34" s="116"/>
      <c r="BP34" s="31"/>
      <c r="BQ34" s="31"/>
      <c r="BR34" s="31"/>
      <c r="BS34" s="31"/>
      <c r="BT34" s="31"/>
      <c r="BU34" s="116"/>
      <c r="BV34" s="31"/>
      <c r="BW34" s="31"/>
    </row>
    <row r="35" spans="1:75">
      <c r="A35" s="2" t="s">
        <v>82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116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116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116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126">
        <v>115.03355704697987</v>
      </c>
      <c r="Y35" s="116">
        <f>SUM(U35:X35)</f>
        <v>102.41610738255034</v>
      </c>
      <c r="Z35" s="31"/>
      <c r="AA35" s="126">
        <v>22.416107382550337</v>
      </c>
      <c r="AB35" s="31">
        <v>2.8187919463087248</v>
      </c>
      <c r="AC35" s="126">
        <v>27.248322147651006</v>
      </c>
      <c r="AD35" s="126">
        <v>25.63758389261745</v>
      </c>
      <c r="AE35" s="116">
        <f>SUM(AA35:AD35)</f>
        <v>78.12080536912751</v>
      </c>
      <c r="AF35" s="31"/>
      <c r="AG35" s="126">
        <v>-29.664429530201343</v>
      </c>
      <c r="AH35" s="126">
        <v>-35.302013422818789</v>
      </c>
      <c r="AI35" s="126">
        <v>-20.134228187919462</v>
      </c>
      <c r="AJ35" s="126">
        <v>34.899328859060404</v>
      </c>
      <c r="AK35" s="116">
        <f>SUM(AG35:AJ35)</f>
        <v>-50.201342281879192</v>
      </c>
      <c r="AL35" s="31"/>
      <c r="AM35" s="126">
        <v>-80.909868924823215</v>
      </c>
      <c r="AN35" s="126">
        <v>-7.651006711409396</v>
      </c>
      <c r="AO35" s="126">
        <v>29.617584793477771</v>
      </c>
      <c r="AP35" s="126">
        <v>49.822080086482586</v>
      </c>
      <c r="AQ35" s="116">
        <f>SUM(AM35:AP35)</f>
        <v>-9.121210756272248</v>
      </c>
      <c r="AR35" s="31"/>
      <c r="AS35" s="126">
        <v>3.6241610738255035</v>
      </c>
      <c r="AT35" s="126">
        <v>8.8590604026845643</v>
      </c>
      <c r="AU35" s="126">
        <v>4.0268456375838921</v>
      </c>
      <c r="AV35" s="126">
        <v>134.09395973154363</v>
      </c>
      <c r="AW35" s="116">
        <f>SUM(AS35:AV35)</f>
        <v>150.60402684563761</v>
      </c>
      <c r="AX35" s="31"/>
      <c r="AY35" s="126">
        <v>-69.932885906040269</v>
      </c>
      <c r="AZ35" s="126">
        <v>-1.3422818791946309</v>
      </c>
      <c r="BA35" s="126">
        <v>47.785234899328856</v>
      </c>
      <c r="BB35" s="126">
        <v>96.644295302013418</v>
      </c>
      <c r="BC35" s="116">
        <f>SUM(AY35:BB35)</f>
        <v>73.154362416107375</v>
      </c>
      <c r="BD35" s="31"/>
      <c r="BE35" s="126">
        <v>26.711409395973153</v>
      </c>
      <c r="BF35" s="126">
        <v>14.630872483221475</v>
      </c>
      <c r="BG35" s="126">
        <v>17.315436241610737</v>
      </c>
      <c r="BH35" s="126">
        <v>153.82550335570468</v>
      </c>
      <c r="BI35" s="116">
        <f>SUM(BE35:BH35)</f>
        <v>212.48322147651004</v>
      </c>
      <c r="BJ35" s="31"/>
      <c r="BK35" s="126">
        <v>12.751677852348992</v>
      </c>
      <c r="BL35" s="126">
        <v>5.3691275167785237</v>
      </c>
      <c r="BM35" s="126">
        <v>35.70469798657718</v>
      </c>
      <c r="BN35" s="126">
        <v>119.4</v>
      </c>
      <c r="BO35" s="116">
        <f>SUM(BK35:BN35)</f>
        <v>173.22550335570469</v>
      </c>
      <c r="BP35" s="31"/>
      <c r="BQ35" s="126">
        <f>+Cashflow!BQ11</f>
        <v>-9.0990000000000038</v>
      </c>
      <c r="BR35" s="126">
        <f>+Cashflow!BR11</f>
        <v>28.7</v>
      </c>
      <c r="BS35" s="126"/>
      <c r="BT35" s="126"/>
      <c r="BU35" s="116">
        <f>SUM(BQ35:BT35)</f>
        <v>19.600999999999996</v>
      </c>
      <c r="BV35" s="31"/>
      <c r="BW35" s="31"/>
    </row>
    <row r="36" spans="1:75">
      <c r="A36" s="2" t="s">
        <v>83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116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116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116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126">
        <v>-40.805369127516776</v>
      </c>
      <c r="Y36" s="116">
        <f>SUM(U36:X36)</f>
        <v>-59.060402684563755</v>
      </c>
      <c r="Z36" s="31"/>
      <c r="AA36" s="126">
        <v>-22.281879194630871</v>
      </c>
      <c r="AB36" s="31">
        <v>-34.228187919463089</v>
      </c>
      <c r="AC36" s="126">
        <v>-33.154362416107382</v>
      </c>
      <c r="AD36" s="126">
        <v>-26.845637583892618</v>
      </c>
      <c r="AE36" s="116">
        <f>SUM(AA36:AD36)</f>
        <v>-116.51006711409397</v>
      </c>
      <c r="AF36" s="31"/>
      <c r="AG36" s="126">
        <v>-39.597315436241608</v>
      </c>
      <c r="AH36" s="126">
        <f>(-159+6)/7.45</f>
        <v>-20.536912751677853</v>
      </c>
      <c r="AI36" s="126">
        <v>-17.583892617449663</v>
      </c>
      <c r="AJ36" s="126">
        <v>-19.328859060402685</v>
      </c>
      <c r="AK36" s="116">
        <f>SUM(AG36:AJ36)</f>
        <v>-97.046979865771817</v>
      </c>
      <c r="AL36" s="31"/>
      <c r="AM36" s="126">
        <v>-12.483221476510067</v>
      </c>
      <c r="AN36" s="126">
        <v>-14.630872483221475</v>
      </c>
      <c r="AO36" s="126">
        <v>-13.422818791946309</v>
      </c>
      <c r="AP36" s="126">
        <v>-16.778523489932887</v>
      </c>
      <c r="AQ36" s="116">
        <f>SUM(AM36:AP36)</f>
        <v>-57.315436241610733</v>
      </c>
      <c r="AR36" s="31"/>
      <c r="AS36" s="126">
        <v>-11.812080536912751</v>
      </c>
      <c r="AT36" s="126">
        <v>-8.9932885906040259</v>
      </c>
      <c r="AU36" s="126">
        <v>-7.1140939597315436</v>
      </c>
      <c r="AV36" s="126">
        <v>-14.630872483221475</v>
      </c>
      <c r="AW36" s="116">
        <f>SUM(AS36:AV36)</f>
        <v>-42.550335570469798</v>
      </c>
      <c r="AX36" s="31"/>
      <c r="AY36" s="126">
        <v>-8.0536912751677843</v>
      </c>
      <c r="AZ36" s="126">
        <v>-7.1140939597315436</v>
      </c>
      <c r="BA36" s="126">
        <v>-6.9798657718120802</v>
      </c>
      <c r="BB36" s="126">
        <v>-10.604026845637584</v>
      </c>
      <c r="BC36" s="116">
        <f>SUM(AY36:BB36)</f>
        <v>-32.75167785234899</v>
      </c>
      <c r="BD36" s="31"/>
      <c r="BE36" s="126">
        <v>-6.7114093959731544</v>
      </c>
      <c r="BF36" s="126">
        <v>-6.5771812080536911</v>
      </c>
      <c r="BG36" s="126">
        <v>-9.3959731543624159</v>
      </c>
      <c r="BH36" s="126">
        <v>-8.3221476510067109</v>
      </c>
      <c r="BI36" s="116">
        <f>SUM(BE36:BH36)</f>
        <v>-31.006711409395969</v>
      </c>
      <c r="BJ36" s="31"/>
      <c r="BK36" s="126">
        <v>-5.1006711409395971</v>
      </c>
      <c r="BL36" s="126">
        <v>-7.3825503355704694</v>
      </c>
      <c r="BM36" s="126">
        <v>-6.8456375838926169</v>
      </c>
      <c r="BN36" s="126">
        <v>-15.8</v>
      </c>
      <c r="BO36" s="116">
        <f>SUM(BK36:BN36)</f>
        <v>-35.128859060402689</v>
      </c>
      <c r="BP36" s="31"/>
      <c r="BQ36" s="126">
        <f>+Cashflow!BQ14</f>
        <v>-10.3</v>
      </c>
      <c r="BR36" s="126">
        <f>+Cashflow!BR14</f>
        <v>-6.6</v>
      </c>
      <c r="BS36" s="126"/>
      <c r="BT36" s="126"/>
      <c r="BU36" s="116">
        <f>SUM(BQ36:BT36)</f>
        <v>-16.899999999999999</v>
      </c>
      <c r="BV36" s="31"/>
      <c r="BW36" s="31"/>
    </row>
    <row r="37" spans="1:75">
      <c r="G37" s="46"/>
      <c r="M37" s="46"/>
      <c r="S37" s="46"/>
      <c r="Y37" s="46"/>
      <c r="AE37" s="46"/>
      <c r="AK37" s="46"/>
      <c r="AQ37" s="46"/>
      <c r="AW37" s="46"/>
      <c r="BC37" s="46"/>
      <c r="BI37" s="46"/>
      <c r="BO37" s="46"/>
      <c r="BU37" s="46"/>
    </row>
    <row r="38" spans="1:75" s="55" customFormat="1">
      <c r="A38" s="53" t="s">
        <v>16</v>
      </c>
      <c r="C38" s="64"/>
      <c r="D38" s="64"/>
      <c r="E38" s="64"/>
      <c r="F38" s="64"/>
      <c r="G38" s="65"/>
      <c r="I38" s="64"/>
      <c r="J38" s="64"/>
      <c r="K38" s="64"/>
      <c r="L38" s="64"/>
      <c r="M38" s="65"/>
      <c r="O38" s="64"/>
      <c r="P38" s="64"/>
      <c r="Q38" s="64"/>
      <c r="R38" s="64"/>
      <c r="S38" s="65"/>
      <c r="U38" s="64"/>
      <c r="V38" s="64"/>
      <c r="W38" s="64"/>
      <c r="X38" s="64"/>
      <c r="Y38" s="65"/>
      <c r="AA38" s="64"/>
      <c r="AB38" s="64"/>
      <c r="AC38" s="64"/>
      <c r="AD38" s="64"/>
      <c r="AE38" s="65"/>
      <c r="AG38" s="64"/>
      <c r="AH38" s="64"/>
      <c r="AI38" s="64"/>
      <c r="AJ38" s="64"/>
      <c r="AK38" s="65"/>
      <c r="AM38" s="64"/>
      <c r="AN38" s="64"/>
      <c r="AO38" s="64"/>
      <c r="AP38" s="64"/>
      <c r="AQ38" s="65"/>
      <c r="AS38" s="64"/>
      <c r="AT38" s="64"/>
      <c r="AU38" s="64"/>
      <c r="AV38" s="64"/>
      <c r="AW38" s="65"/>
      <c r="AY38" s="64"/>
      <c r="AZ38" s="64"/>
      <c r="BA38" s="64"/>
      <c r="BB38" s="64"/>
      <c r="BC38" s="65"/>
      <c r="BE38" s="64"/>
      <c r="BF38" s="64"/>
      <c r="BG38" s="64"/>
      <c r="BH38" s="64"/>
      <c r="BI38" s="65"/>
      <c r="BK38" s="64"/>
      <c r="BL38" s="64"/>
      <c r="BM38" s="64"/>
      <c r="BN38" s="64"/>
      <c r="BO38" s="65"/>
      <c r="BQ38" s="64"/>
      <c r="BR38" s="64"/>
      <c r="BS38" s="64"/>
      <c r="BT38" s="64"/>
      <c r="BU38" s="65"/>
    </row>
    <row r="39" spans="1:75" ht="4.5" customHeight="1">
      <c r="G39" s="46"/>
      <c r="M39" s="46"/>
      <c r="S39" s="46"/>
      <c r="Y39" s="46"/>
      <c r="AE39" s="46"/>
      <c r="AK39" s="46"/>
      <c r="AQ39" s="46"/>
      <c r="AW39" s="46"/>
      <c r="BC39" s="46"/>
      <c r="BI39" s="46"/>
      <c r="BO39" s="46"/>
      <c r="BU39" s="46"/>
    </row>
    <row r="40" spans="1:75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48"/>
      <c r="I40" s="10">
        <v>0.43</v>
      </c>
      <c r="J40" s="10">
        <v>0.38</v>
      </c>
      <c r="K40" s="10">
        <v>0.39</v>
      </c>
      <c r="L40" s="10">
        <v>0.38</v>
      </c>
      <c r="M40" s="48"/>
      <c r="O40" s="10">
        <v>0.36</v>
      </c>
      <c r="P40" s="10">
        <v>0.33</v>
      </c>
      <c r="Q40" s="10">
        <v>0.33</v>
      </c>
      <c r="R40" s="10">
        <v>0.36</v>
      </c>
      <c r="S40" s="48" t="s">
        <v>54</v>
      </c>
      <c r="U40" s="10">
        <v>0.35</v>
      </c>
      <c r="V40" s="10">
        <v>0.33</v>
      </c>
      <c r="W40" s="10">
        <v>0.35</v>
      </c>
      <c r="X40" s="10">
        <v>0.35</v>
      </c>
      <c r="Y40" s="48" t="s">
        <v>54</v>
      </c>
      <c r="AA40" s="10">
        <v>0.36</v>
      </c>
      <c r="AB40" s="11">
        <v>0.36</v>
      </c>
      <c r="AC40" s="12">
        <v>0.35</v>
      </c>
      <c r="AD40" s="12">
        <v>0.37</v>
      </c>
      <c r="AE40" s="48" t="s">
        <v>54</v>
      </c>
      <c r="AG40" s="10">
        <v>0.34</v>
      </c>
      <c r="AH40" s="12">
        <v>0.33</v>
      </c>
      <c r="AI40" s="12">
        <v>0.32</v>
      </c>
      <c r="AJ40" s="12">
        <v>0.33</v>
      </c>
      <c r="AK40" s="5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51"/>
      <c r="AS40" s="10">
        <v>0.3</v>
      </c>
      <c r="AT40" s="10">
        <v>0.41</v>
      </c>
      <c r="AU40" s="10">
        <v>0.43</v>
      </c>
      <c r="AV40" s="12">
        <v>0.44</v>
      </c>
      <c r="AW40" s="51"/>
      <c r="AY40" s="10">
        <v>0.41</v>
      </c>
      <c r="AZ40" s="10">
        <v>0.42</v>
      </c>
      <c r="BA40" s="10">
        <v>0.41</v>
      </c>
      <c r="BB40" s="12">
        <v>0.44</v>
      </c>
      <c r="BC40" s="51"/>
      <c r="BE40" s="10">
        <v>0.43</v>
      </c>
      <c r="BF40" s="10">
        <v>0.44</v>
      </c>
      <c r="BG40" s="10">
        <v>0.44</v>
      </c>
      <c r="BH40" s="12">
        <v>0.48</v>
      </c>
      <c r="BI40" s="51"/>
      <c r="BK40" s="10">
        <v>0.46</v>
      </c>
      <c r="BL40" s="10">
        <v>0.43</v>
      </c>
      <c r="BM40" s="10">
        <v>0.46</v>
      </c>
      <c r="BN40" s="10">
        <v>0.48</v>
      </c>
      <c r="BO40" s="51"/>
      <c r="BQ40" s="10">
        <f>+BQ28/BQ29</f>
        <v>0.46193273439299698</v>
      </c>
      <c r="BR40" s="10">
        <f>+BR28/BR29</f>
        <v>0.44857878245299909</v>
      </c>
      <c r="BS40" s="10"/>
      <c r="BT40" s="10"/>
      <c r="BU40" s="51"/>
    </row>
    <row r="41" spans="1:75" ht="12.75" customHeight="1">
      <c r="A41" s="2" t="s">
        <v>172</v>
      </c>
      <c r="C41" s="2">
        <v>24500</v>
      </c>
      <c r="D41" s="2">
        <v>24500</v>
      </c>
      <c r="E41" s="2">
        <v>24500</v>
      </c>
      <c r="F41" s="2">
        <v>24500</v>
      </c>
      <c r="G41" s="46"/>
      <c r="I41" s="2">
        <v>24500</v>
      </c>
      <c r="J41" s="2">
        <v>23500</v>
      </c>
      <c r="K41" s="2">
        <v>23500</v>
      </c>
      <c r="L41" s="2">
        <v>23500</v>
      </c>
      <c r="M41" s="46"/>
      <c r="O41" s="13">
        <v>23561</v>
      </c>
      <c r="P41" s="13">
        <v>23638</v>
      </c>
      <c r="Q41" s="13">
        <v>23638</v>
      </c>
      <c r="R41" s="13">
        <v>23638</v>
      </c>
      <c r="S41" s="46"/>
      <c r="U41" s="13">
        <v>23655</v>
      </c>
      <c r="V41" s="13">
        <v>23718</v>
      </c>
      <c r="W41" s="13">
        <v>23718</v>
      </c>
      <c r="X41" s="13">
        <v>23718</v>
      </c>
      <c r="Y41" s="46"/>
      <c r="AA41" s="13">
        <v>23718</v>
      </c>
      <c r="AB41" s="14">
        <v>23718</v>
      </c>
      <c r="AC41" s="14">
        <v>23718</v>
      </c>
      <c r="AD41" s="14">
        <f>23718</f>
        <v>23718</v>
      </c>
      <c r="AE41" s="46"/>
      <c r="AG41" s="13">
        <v>23722</v>
      </c>
      <c r="AH41" s="13">
        <v>23738</v>
      </c>
      <c r="AI41" s="14">
        <v>23738</v>
      </c>
      <c r="AJ41" s="14">
        <v>23738</v>
      </c>
      <c r="AK41" s="4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4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4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4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4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46"/>
      <c r="BQ41" s="13">
        <v>24356</v>
      </c>
      <c r="BR41" s="13">
        <v>24356</v>
      </c>
      <c r="BS41" s="13"/>
      <c r="BT41" s="13"/>
      <c r="BU41" s="46"/>
    </row>
    <row r="42" spans="1:75" ht="12.75" customHeight="1">
      <c r="A42" s="2" t="s">
        <v>222</v>
      </c>
      <c r="G42" s="46"/>
      <c r="M42" s="46"/>
      <c r="O42" s="13"/>
      <c r="P42" s="13"/>
      <c r="Q42" s="13"/>
      <c r="R42" s="13"/>
      <c r="S42" s="46"/>
      <c r="U42" s="13"/>
      <c r="V42" s="13"/>
      <c r="W42" s="13"/>
      <c r="X42" s="13"/>
      <c r="Y42" s="46"/>
      <c r="AA42" s="13"/>
      <c r="AB42" s="14"/>
      <c r="AC42" s="14"/>
      <c r="AD42" s="14"/>
      <c r="AE42" s="46"/>
      <c r="AG42" s="13"/>
      <c r="AH42" s="13"/>
      <c r="AI42" s="14"/>
      <c r="AJ42" s="14"/>
      <c r="AK42" s="46"/>
      <c r="AM42" s="13"/>
      <c r="AN42" s="13"/>
      <c r="AO42" s="13"/>
      <c r="AP42" s="13"/>
      <c r="AQ42" s="46"/>
      <c r="AS42" s="13"/>
      <c r="AT42" s="13"/>
      <c r="AU42" s="13"/>
      <c r="AV42" s="13"/>
      <c r="AW42" s="46"/>
      <c r="AY42" s="13"/>
      <c r="AZ42" s="13"/>
      <c r="BA42" s="13"/>
      <c r="BB42" s="13"/>
      <c r="BC42" s="46"/>
      <c r="BE42" s="13"/>
      <c r="BF42" s="13"/>
      <c r="BG42" s="13"/>
      <c r="BH42" s="13"/>
      <c r="BI42" s="46"/>
      <c r="BK42" s="13"/>
      <c r="BL42" s="13"/>
      <c r="BM42" s="13"/>
      <c r="BN42" s="13">
        <v>77</v>
      </c>
      <c r="BO42" s="46"/>
      <c r="BQ42" s="13">
        <v>176</v>
      </c>
      <c r="BR42" s="13">
        <v>589</v>
      </c>
      <c r="BS42" s="13"/>
      <c r="BT42" s="13"/>
      <c r="BU42" s="46"/>
    </row>
    <row r="43" spans="1:75" ht="12.75" customHeight="1">
      <c r="A43" s="2" t="s">
        <v>177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49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49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49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49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49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49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49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49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49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49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49">
        <f>SUM(BK43:BN43)</f>
        <v>-4.161073825503353E-2</v>
      </c>
      <c r="BQ43" s="16">
        <v>0.4</v>
      </c>
      <c r="BR43" s="16">
        <v>0.9</v>
      </c>
      <c r="BS43" s="16"/>
      <c r="BT43" s="16"/>
      <c r="BU43" s="49">
        <f>SUM(BQ43:BT43)</f>
        <v>1.3</v>
      </c>
    </row>
    <row r="44" spans="1:75" ht="12.75" customHeight="1">
      <c r="A44" s="2" t="s">
        <v>211</v>
      </c>
      <c r="C44" s="15">
        <v>0</v>
      </c>
      <c r="D44" s="15">
        <v>8</v>
      </c>
      <c r="E44" s="15">
        <v>0</v>
      </c>
      <c r="F44" s="15">
        <v>0</v>
      </c>
      <c r="G44" s="49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49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49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49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49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49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49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49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49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49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49">
        <f>SUM(BK44:BN44)</f>
        <v>4</v>
      </c>
      <c r="BQ44" s="16">
        <v>0</v>
      </c>
      <c r="BR44" s="16">
        <v>4</v>
      </c>
      <c r="BS44" s="16"/>
      <c r="BT44" s="17"/>
      <c r="BU44" s="49">
        <f>SUM(BQ44:BT44)</f>
        <v>4</v>
      </c>
    </row>
    <row r="45" spans="1:75" ht="12.75" customHeight="1">
      <c r="A45" s="2" t="s">
        <v>210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46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46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46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46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46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46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46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46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46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46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46"/>
      <c r="BQ45" s="18">
        <f>+BQ28*1000/BQ41</f>
        <v>32.932337001149612</v>
      </c>
      <c r="BR45" s="18">
        <v>34</v>
      </c>
      <c r="BS45" s="18"/>
      <c r="BT45" s="18"/>
      <c r="BU45" s="46"/>
    </row>
    <row r="46" spans="1:75" s="44" customFormat="1" ht="12.75" customHeight="1" thickBot="1">
      <c r="A46" s="44" t="s">
        <v>209</v>
      </c>
      <c r="C46" s="44">
        <v>198</v>
      </c>
      <c r="D46" s="44">
        <v>229</v>
      </c>
      <c r="E46" s="44">
        <v>262</v>
      </c>
      <c r="F46" s="44">
        <v>289</v>
      </c>
      <c r="G46" s="66"/>
      <c r="I46" s="44">
        <v>389</v>
      </c>
      <c r="J46" s="44">
        <v>366</v>
      </c>
      <c r="K46" s="44">
        <v>442</v>
      </c>
      <c r="L46" s="44">
        <v>503</v>
      </c>
      <c r="M46" s="66"/>
      <c r="O46" s="44">
        <v>449</v>
      </c>
      <c r="P46" s="44">
        <v>549</v>
      </c>
      <c r="Q46" s="44">
        <v>586</v>
      </c>
      <c r="R46" s="44">
        <v>459</v>
      </c>
      <c r="S46" s="66"/>
      <c r="U46" s="44">
        <v>340</v>
      </c>
      <c r="V46" s="44">
        <v>383</v>
      </c>
      <c r="W46" s="44">
        <v>245</v>
      </c>
      <c r="X46" s="44">
        <v>106</v>
      </c>
      <c r="Y46" s="66"/>
      <c r="AA46" s="67">
        <v>97</v>
      </c>
      <c r="AB46" s="68">
        <v>179</v>
      </c>
      <c r="AC46" s="67">
        <v>297</v>
      </c>
      <c r="AD46" s="45">
        <v>291</v>
      </c>
      <c r="AE46" s="66"/>
      <c r="AG46" s="67">
        <v>305</v>
      </c>
      <c r="AH46" s="69">
        <v>274</v>
      </c>
      <c r="AI46" s="67">
        <v>270</v>
      </c>
      <c r="AJ46" s="45">
        <v>297</v>
      </c>
      <c r="AK46" s="66"/>
      <c r="AM46" s="68">
        <f>+Valuation!AG9</f>
        <v>309</v>
      </c>
      <c r="AN46" s="68">
        <f>+Valuation!AH9</f>
        <v>329</v>
      </c>
      <c r="AO46" s="68">
        <f>+Valuation!AI9</f>
        <v>202</v>
      </c>
      <c r="AP46" s="68">
        <f>+Valuation!AJ9</f>
        <v>191</v>
      </c>
      <c r="AQ46" s="66"/>
      <c r="AS46" s="68">
        <f>+Valuation!AL9</f>
        <v>254</v>
      </c>
      <c r="AT46" s="68">
        <v>190</v>
      </c>
      <c r="AU46" s="68">
        <v>202</v>
      </c>
      <c r="AV46" s="68">
        <v>204</v>
      </c>
      <c r="AW46" s="66"/>
      <c r="AY46" s="68">
        <f>+Valuation!AQ9</f>
        <v>216</v>
      </c>
      <c r="AZ46" s="68">
        <f>+Valuation!AR9</f>
        <v>208</v>
      </c>
      <c r="BA46" s="69">
        <f>+Valuation!AS9</f>
        <v>274</v>
      </c>
      <c r="BB46" s="69">
        <f>+Valuation!AT9</f>
        <v>268</v>
      </c>
      <c r="BC46" s="70"/>
      <c r="BE46" s="68">
        <f>+Valuation!AV9</f>
        <v>314</v>
      </c>
      <c r="BF46" s="68">
        <f>+Valuation!AW9</f>
        <v>374</v>
      </c>
      <c r="BG46" s="69">
        <v>325</v>
      </c>
      <c r="BH46" s="69">
        <v>332</v>
      </c>
      <c r="BI46" s="66"/>
      <c r="BK46" s="68">
        <f>+Valuation!BA9</f>
        <v>445</v>
      </c>
      <c r="BL46" s="68">
        <f>+Valuation!BB9</f>
        <v>384</v>
      </c>
      <c r="BM46" s="69">
        <v>352</v>
      </c>
      <c r="BN46" s="69">
        <v>357</v>
      </c>
      <c r="BO46" s="66"/>
      <c r="BQ46" s="68">
        <v>378</v>
      </c>
      <c r="BR46" s="68">
        <v>337</v>
      </c>
      <c r="BS46" s="69"/>
      <c r="BT46" s="69"/>
      <c r="BU46" s="66"/>
    </row>
    <row r="47" spans="1:75" ht="11.1" customHeight="1">
      <c r="A47" s="224" t="s">
        <v>216</v>
      </c>
      <c r="AC47" s="20"/>
      <c r="AD47" s="20"/>
      <c r="AG47" s="20"/>
      <c r="AH47" s="20"/>
    </row>
    <row r="48" spans="1:75" ht="11.1" customHeight="1">
      <c r="A48" s="224" t="s">
        <v>217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</row>
    <row r="49" spans="1:36" ht="11.1" customHeight="1">
      <c r="A49" s="224" t="s">
        <v>215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>
      <c r="J50" s="15"/>
      <c r="P50" s="15"/>
      <c r="V50" s="15"/>
    </row>
  </sheetData>
  <mergeCells count="24">
    <mergeCell ref="AS1:AW1"/>
    <mergeCell ref="AS2:AW2"/>
    <mergeCell ref="BK1:BO1"/>
    <mergeCell ref="BK2:BO2"/>
    <mergeCell ref="BQ1:BU1"/>
    <mergeCell ref="BQ2:BU2"/>
    <mergeCell ref="BE1:BI1"/>
    <mergeCell ref="BE2:BI2"/>
    <mergeCell ref="AY1:BC1"/>
    <mergeCell ref="AY2:BC2"/>
    <mergeCell ref="C2:G2"/>
    <mergeCell ref="C1:G1"/>
    <mergeCell ref="O2:S2"/>
    <mergeCell ref="I1:M1"/>
    <mergeCell ref="I2:M2"/>
    <mergeCell ref="O1:S1"/>
    <mergeCell ref="U2:Y2"/>
    <mergeCell ref="AA2:AE2"/>
    <mergeCell ref="U1:Y1"/>
    <mergeCell ref="AM1:AQ1"/>
    <mergeCell ref="AM2:AQ2"/>
    <mergeCell ref="AG1:AK1"/>
    <mergeCell ref="AG2:AK2"/>
    <mergeCell ref="AA1:AE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D42"/>
  <sheetViews>
    <sheetView showGridLines="0" zoomScaleNormal="100" zoomScaleSheetLayoutView="85" workbookViewId="0">
      <pane xSplit="1" ySplit="3" topLeftCell="BD4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BK58" sqref="BK58"/>
    </sheetView>
  </sheetViews>
  <sheetFormatPr defaultColWidth="9.140625" defaultRowHeight="12.75"/>
  <cols>
    <col min="1" max="1" width="36.42578125" style="15" customWidth="1"/>
    <col min="2" max="2" width="4.7109375" style="140" customWidth="1"/>
    <col min="3" max="6" width="8.7109375" style="15" customWidth="1"/>
    <col min="7" max="7" width="4.7109375" style="140" customWidth="1"/>
    <col min="8" max="11" width="8.7109375" style="15" customWidth="1"/>
    <col min="12" max="12" width="4.7109375" style="140" customWidth="1"/>
    <col min="13" max="16" width="8.7109375" style="15" customWidth="1"/>
    <col min="17" max="17" width="4.7109375" style="140" customWidth="1"/>
    <col min="18" max="21" width="8.7109375" style="15" customWidth="1"/>
    <col min="22" max="22" width="4.7109375" style="140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16384" width="9.140625" style="15"/>
  </cols>
  <sheetData>
    <row r="1" spans="1:61">
      <c r="B1" s="134"/>
      <c r="C1" s="231" t="s">
        <v>80</v>
      </c>
      <c r="D1" s="231"/>
      <c r="E1" s="231"/>
      <c r="F1" s="231"/>
      <c r="G1" s="134"/>
      <c r="H1" s="231" t="s">
        <v>80</v>
      </c>
      <c r="I1" s="231"/>
      <c r="J1" s="231"/>
      <c r="K1" s="231"/>
      <c r="L1" s="134"/>
      <c r="M1" s="231" t="s">
        <v>80</v>
      </c>
      <c r="N1" s="231"/>
      <c r="O1" s="231"/>
      <c r="P1" s="231"/>
      <c r="Q1" s="134"/>
      <c r="R1" s="231" t="s">
        <v>80</v>
      </c>
      <c r="S1" s="231"/>
      <c r="T1" s="231"/>
      <c r="U1" s="231"/>
      <c r="V1" s="134"/>
      <c r="W1" s="231" t="s">
        <v>80</v>
      </c>
      <c r="X1" s="231"/>
      <c r="Y1" s="231"/>
      <c r="Z1" s="231"/>
      <c r="AB1" s="231" t="s">
        <v>80</v>
      </c>
      <c r="AC1" s="231"/>
      <c r="AD1" s="231"/>
      <c r="AE1" s="231"/>
      <c r="AG1" s="231" t="s">
        <v>80</v>
      </c>
      <c r="AH1" s="231"/>
      <c r="AI1" s="231"/>
      <c r="AJ1" s="231"/>
      <c r="AL1" s="231" t="s">
        <v>80</v>
      </c>
      <c r="AM1" s="231"/>
      <c r="AN1" s="231"/>
      <c r="AO1" s="231"/>
      <c r="AQ1" s="231" t="s">
        <v>80</v>
      </c>
      <c r="AR1" s="231"/>
      <c r="AS1" s="231"/>
      <c r="AT1" s="231"/>
      <c r="AV1" s="231" t="s">
        <v>80</v>
      </c>
      <c r="AW1" s="231"/>
      <c r="AX1" s="231"/>
      <c r="AY1" s="231"/>
      <c r="BA1" s="231" t="s">
        <v>80</v>
      </c>
      <c r="BB1" s="231"/>
      <c r="BC1" s="231"/>
      <c r="BD1" s="231"/>
      <c r="BF1" s="231" t="s">
        <v>80</v>
      </c>
      <c r="BG1" s="231"/>
      <c r="BH1" s="231"/>
      <c r="BI1" s="231"/>
    </row>
    <row r="2" spans="1:61">
      <c r="A2" s="135" t="s">
        <v>34</v>
      </c>
      <c r="B2" s="136"/>
      <c r="C2" s="232" t="s">
        <v>186</v>
      </c>
      <c r="D2" s="233"/>
      <c r="E2" s="233"/>
      <c r="F2" s="233"/>
      <c r="G2" s="136"/>
      <c r="H2" s="232" t="s">
        <v>187</v>
      </c>
      <c r="I2" s="233"/>
      <c r="J2" s="233"/>
      <c r="K2" s="233"/>
      <c r="L2" s="136"/>
      <c r="M2" s="232" t="s">
        <v>188</v>
      </c>
      <c r="N2" s="233"/>
      <c r="O2" s="233"/>
      <c r="P2" s="233"/>
      <c r="Q2" s="136"/>
      <c r="R2" s="232" t="s">
        <v>189</v>
      </c>
      <c r="S2" s="233"/>
      <c r="T2" s="233"/>
      <c r="U2" s="233"/>
      <c r="V2" s="136"/>
      <c r="W2" s="232" t="s">
        <v>190</v>
      </c>
      <c r="X2" s="233"/>
      <c r="Y2" s="233"/>
      <c r="Z2" s="233"/>
      <c r="AB2" s="232" t="s">
        <v>191</v>
      </c>
      <c r="AC2" s="233"/>
      <c r="AD2" s="233"/>
      <c r="AE2" s="233"/>
      <c r="AG2" s="232" t="s">
        <v>196</v>
      </c>
      <c r="AH2" s="233"/>
      <c r="AI2" s="233"/>
      <c r="AJ2" s="233"/>
      <c r="AL2" s="232" t="s">
        <v>195</v>
      </c>
      <c r="AM2" s="233"/>
      <c r="AN2" s="233"/>
      <c r="AO2" s="233"/>
      <c r="AQ2" s="232" t="s">
        <v>194</v>
      </c>
      <c r="AR2" s="233"/>
      <c r="AS2" s="233"/>
      <c r="AT2" s="233"/>
      <c r="AV2" s="232" t="s">
        <v>193</v>
      </c>
      <c r="AW2" s="233"/>
      <c r="AX2" s="233"/>
      <c r="AY2" s="233"/>
      <c r="BA2" s="232" t="s">
        <v>192</v>
      </c>
      <c r="BB2" s="233"/>
      <c r="BC2" s="233"/>
      <c r="BD2" s="233"/>
      <c r="BF2" s="232" t="s">
        <v>214</v>
      </c>
      <c r="BG2" s="233"/>
      <c r="BH2" s="233"/>
      <c r="BI2" s="233"/>
    </row>
    <row r="3" spans="1:61" s="139" customFormat="1" ht="13.5" thickBot="1">
      <c r="A3" s="137" t="s">
        <v>197</v>
      </c>
      <c r="B3" s="138"/>
      <c r="C3" s="138" t="s">
        <v>10</v>
      </c>
      <c r="D3" s="138" t="s">
        <v>11</v>
      </c>
      <c r="E3" s="138" t="s">
        <v>12</v>
      </c>
      <c r="F3" s="138" t="s">
        <v>13</v>
      </c>
      <c r="G3" s="138"/>
      <c r="H3" s="138" t="s">
        <v>10</v>
      </c>
      <c r="I3" s="138" t="s">
        <v>11</v>
      </c>
      <c r="J3" s="138" t="s">
        <v>12</v>
      </c>
      <c r="K3" s="138" t="s">
        <v>13</v>
      </c>
      <c r="L3" s="138"/>
      <c r="M3" s="138" t="s">
        <v>10</v>
      </c>
      <c r="N3" s="138" t="s">
        <v>11</v>
      </c>
      <c r="O3" s="138" t="s">
        <v>12</v>
      </c>
      <c r="P3" s="138" t="s">
        <v>13</v>
      </c>
      <c r="Q3" s="138"/>
      <c r="R3" s="138" t="s">
        <v>10</v>
      </c>
      <c r="S3" s="138" t="s">
        <v>11</v>
      </c>
      <c r="T3" s="138" t="s">
        <v>12</v>
      </c>
      <c r="U3" s="138" t="s">
        <v>13</v>
      </c>
      <c r="V3" s="138"/>
      <c r="W3" s="138" t="s">
        <v>10</v>
      </c>
      <c r="X3" s="138" t="s">
        <v>11</v>
      </c>
      <c r="Y3" s="138" t="s">
        <v>12</v>
      </c>
      <c r="Z3" s="138" t="s">
        <v>13</v>
      </c>
      <c r="AB3" s="138" t="s">
        <v>10</v>
      </c>
      <c r="AC3" s="138" t="s">
        <v>11</v>
      </c>
      <c r="AD3" s="138" t="s">
        <v>12</v>
      </c>
      <c r="AE3" s="138" t="s">
        <v>13</v>
      </c>
      <c r="AG3" s="138" t="s">
        <v>10</v>
      </c>
      <c r="AH3" s="138" t="s">
        <v>11</v>
      </c>
      <c r="AI3" s="138" t="s">
        <v>12</v>
      </c>
      <c r="AJ3" s="138" t="s">
        <v>13</v>
      </c>
      <c r="AL3" s="138" t="s">
        <v>10</v>
      </c>
      <c r="AM3" s="138" t="s">
        <v>11</v>
      </c>
      <c r="AN3" s="138" t="s">
        <v>12</v>
      </c>
      <c r="AO3" s="138" t="s">
        <v>13</v>
      </c>
      <c r="AQ3" s="138" t="s">
        <v>10</v>
      </c>
      <c r="AR3" s="138" t="s">
        <v>11</v>
      </c>
      <c r="AS3" s="138" t="s">
        <v>12</v>
      </c>
      <c r="AT3" s="138" t="s">
        <v>13</v>
      </c>
      <c r="AV3" s="138" t="s">
        <v>10</v>
      </c>
      <c r="AW3" s="138" t="s">
        <v>11</v>
      </c>
      <c r="AX3" s="138" t="s">
        <v>12</v>
      </c>
      <c r="AY3" s="138" t="s">
        <v>13</v>
      </c>
      <c r="BA3" s="138" t="s">
        <v>10</v>
      </c>
      <c r="BB3" s="138" t="s">
        <v>11</v>
      </c>
      <c r="BC3" s="138" t="s">
        <v>12</v>
      </c>
      <c r="BD3" s="138" t="s">
        <v>13</v>
      </c>
      <c r="BF3" s="138" t="s">
        <v>10</v>
      </c>
      <c r="BG3" s="138" t="s">
        <v>11</v>
      </c>
      <c r="BH3" s="138" t="s">
        <v>12</v>
      </c>
      <c r="BI3" s="138" t="s">
        <v>13</v>
      </c>
    </row>
    <row r="4" spans="1:61" ht="13.5" thickTop="1">
      <c r="D4" s="141"/>
      <c r="F4" s="141"/>
      <c r="I4" s="141"/>
      <c r="K4" s="141"/>
      <c r="N4" s="141"/>
      <c r="P4" s="141"/>
      <c r="S4" s="141"/>
      <c r="U4" s="141"/>
      <c r="X4" s="141"/>
      <c r="Z4" s="141"/>
      <c r="AC4" s="141"/>
      <c r="AE4" s="141"/>
      <c r="AH4" s="141"/>
      <c r="AJ4" s="141"/>
      <c r="AM4" s="141"/>
      <c r="AO4" s="141"/>
      <c r="AR4" s="141"/>
      <c r="AT4" s="141"/>
      <c r="AW4" s="141"/>
      <c r="AY4" s="141"/>
      <c r="BB4" s="141"/>
      <c r="BD4" s="141"/>
      <c r="BG4" s="141"/>
      <c r="BI4" s="141"/>
    </row>
    <row r="5" spans="1:61">
      <c r="A5" s="140" t="s">
        <v>18</v>
      </c>
      <c r="D5" s="141"/>
      <c r="F5" s="141"/>
      <c r="I5" s="141"/>
      <c r="K5" s="141"/>
      <c r="N5" s="141"/>
      <c r="P5" s="141"/>
      <c r="S5" s="141"/>
      <c r="U5" s="141"/>
      <c r="X5" s="141"/>
      <c r="Z5" s="141"/>
      <c r="AC5" s="141"/>
      <c r="AE5" s="141"/>
      <c r="AH5" s="141"/>
      <c r="AJ5" s="141"/>
      <c r="AM5" s="141"/>
      <c r="AO5" s="141"/>
      <c r="AR5" s="141"/>
      <c r="AT5" s="141"/>
      <c r="AW5" s="141"/>
      <c r="AY5" s="141"/>
      <c r="BB5" s="141"/>
      <c r="BD5" s="141"/>
      <c r="BG5" s="141"/>
      <c r="BI5" s="141"/>
    </row>
    <row r="6" spans="1:61">
      <c r="A6" s="15" t="s">
        <v>84</v>
      </c>
      <c r="C6" s="15">
        <v>135.03355704697987</v>
      </c>
      <c r="D6" s="141">
        <v>139.19463087248323</v>
      </c>
      <c r="E6" s="15">
        <v>140</v>
      </c>
      <c r="F6" s="141">
        <v>135.70469798657717</v>
      </c>
      <c r="H6" s="15">
        <v>135.9731543624161</v>
      </c>
      <c r="I6" s="141">
        <v>132.75167785234899</v>
      </c>
      <c r="J6" s="15">
        <v>133.55704697986576</v>
      </c>
      <c r="K6" s="141">
        <v>110.06711409395973</v>
      </c>
      <c r="M6" s="15">
        <v>156.37583892617448</v>
      </c>
      <c r="N6" s="141">
        <v>165.63758389261744</v>
      </c>
      <c r="O6" s="15">
        <v>178.65771812080536</v>
      </c>
      <c r="P6" s="141">
        <v>186.17449664429529</v>
      </c>
      <c r="R6" s="15">
        <v>192.21476510067114</v>
      </c>
      <c r="S6" s="141">
        <v>202.14765100671141</v>
      </c>
      <c r="T6" s="15">
        <v>212.75167785234899</v>
      </c>
      <c r="U6" s="141">
        <v>212.75167785234899</v>
      </c>
      <c r="W6" s="15">
        <v>220.40268456375838</v>
      </c>
      <c r="X6" s="141">
        <v>215.43624161073825</v>
      </c>
      <c r="Y6" s="15">
        <v>213.55704697986576</v>
      </c>
      <c r="Z6" s="141">
        <v>217.58389261744966</v>
      </c>
      <c r="AB6" s="15">
        <v>225.63758389261744</v>
      </c>
      <c r="AC6" s="141">
        <v>242.41610738255034</v>
      </c>
      <c r="AD6" s="15">
        <v>230.06711409395973</v>
      </c>
      <c r="AE6" s="141">
        <v>237.18120805369128</v>
      </c>
      <c r="AG6" s="15">
        <v>242.01342281879195</v>
      </c>
      <c r="AH6" s="141">
        <v>243.08724832214764</v>
      </c>
      <c r="AI6" s="15">
        <v>256.51006711409394</v>
      </c>
      <c r="AJ6" s="141">
        <v>266.8456375838926</v>
      </c>
      <c r="AL6" s="15">
        <v>263.48993288590606</v>
      </c>
      <c r="AM6" s="141">
        <v>272.34899328859058</v>
      </c>
      <c r="AN6" s="15">
        <v>271.14093959731542</v>
      </c>
      <c r="AO6" s="141">
        <v>269.53020134228188</v>
      </c>
      <c r="AQ6" s="15">
        <v>273.42281879194633</v>
      </c>
      <c r="AR6" s="141">
        <v>270.73825503355704</v>
      </c>
      <c r="AS6" s="15">
        <v>270.33557046979865</v>
      </c>
      <c r="AT6" s="141">
        <v>268.59060402684565</v>
      </c>
      <c r="AV6" s="15">
        <v>271.14093959731542</v>
      </c>
      <c r="AW6" s="141">
        <v>273.55704697986579</v>
      </c>
      <c r="AX6" s="15">
        <v>286.17449664429529</v>
      </c>
      <c r="AY6" s="141">
        <v>291.94630872483219</v>
      </c>
      <c r="BA6" s="15">
        <v>311.54362416107381</v>
      </c>
      <c r="BB6" s="141">
        <v>322.14765100671138</v>
      </c>
      <c r="BC6" s="15">
        <v>319.59731543624162</v>
      </c>
      <c r="BD6" s="141">
        <v>333.2</v>
      </c>
      <c r="BF6" s="15">
        <v>369.2</v>
      </c>
      <c r="BG6" s="141">
        <v>373.5</v>
      </c>
      <c r="BI6" s="141"/>
    </row>
    <row r="7" spans="1:61">
      <c r="A7" s="15" t="s">
        <v>85</v>
      </c>
      <c r="C7" s="15">
        <v>103.22147651006711</v>
      </c>
      <c r="D7" s="141">
        <v>104.56375838926174</v>
      </c>
      <c r="E7" s="15">
        <v>108.05369127516778</v>
      </c>
      <c r="F7" s="141">
        <v>108.05369127516778</v>
      </c>
      <c r="H7" s="15">
        <v>112.88590604026845</v>
      </c>
      <c r="I7" s="141">
        <v>100.67114093959731</v>
      </c>
      <c r="J7" s="15">
        <v>102.95302013422818</v>
      </c>
      <c r="K7" s="141">
        <v>108.59060402684564</v>
      </c>
      <c r="M7" s="15">
        <v>141.87919463087249</v>
      </c>
      <c r="N7" s="141">
        <v>150.20134228187919</v>
      </c>
      <c r="O7" s="15">
        <v>189.79865771812081</v>
      </c>
      <c r="P7" s="141">
        <v>202.41610738255034</v>
      </c>
      <c r="R7" s="15">
        <v>213.95973154362414</v>
      </c>
      <c r="S7" s="141">
        <v>235.43624161073825</v>
      </c>
      <c r="T7" s="15">
        <v>251.54362416107381</v>
      </c>
      <c r="U7" s="141">
        <v>269.66442953020135</v>
      </c>
      <c r="W7" s="15">
        <v>282.55033557046977</v>
      </c>
      <c r="X7" s="141">
        <v>314.49664429530202</v>
      </c>
      <c r="Y7" s="15">
        <v>342.01342281879192</v>
      </c>
      <c r="Z7" s="141">
        <v>357.98657718120802</v>
      </c>
      <c r="AB7" s="15">
        <v>396.6442953020134</v>
      </c>
      <c r="AC7" s="141">
        <v>410.33557046979865</v>
      </c>
      <c r="AD7" s="15">
        <v>419.73154362416108</v>
      </c>
      <c r="AE7" s="141">
        <v>432.88590604026842</v>
      </c>
      <c r="AG7" s="15">
        <v>433.55704697986579</v>
      </c>
      <c r="AH7" s="141">
        <v>437.98657718120802</v>
      </c>
      <c r="AI7" s="15">
        <v>441.744966442953</v>
      </c>
      <c r="AJ7" s="141">
        <v>437.58389261744964</v>
      </c>
      <c r="AL7" s="15">
        <v>440.53691275167785</v>
      </c>
      <c r="AM7" s="141">
        <v>437.04697986577179</v>
      </c>
      <c r="AN7" s="15">
        <v>435.30201342281879</v>
      </c>
      <c r="AO7" s="141">
        <v>436.51006711409394</v>
      </c>
      <c r="AQ7" s="15">
        <v>433.28859060402681</v>
      </c>
      <c r="AR7" s="141">
        <v>427.65100671140937</v>
      </c>
      <c r="AS7" s="15">
        <v>426.04026845637583</v>
      </c>
      <c r="AT7" s="141">
        <v>421.20805369127515</v>
      </c>
      <c r="AV7" s="15">
        <v>414.36241610738256</v>
      </c>
      <c r="AW7" s="141">
        <v>409.39597315436242</v>
      </c>
      <c r="AX7" s="15">
        <v>412.75167785234896</v>
      </c>
      <c r="AY7" s="141">
        <v>407.38255033557044</v>
      </c>
      <c r="BA7" s="15">
        <v>410.33557046979865</v>
      </c>
      <c r="BB7" s="141">
        <v>368.05369127516775</v>
      </c>
      <c r="BC7" s="15">
        <v>361.87919463087246</v>
      </c>
      <c r="BD7" s="141">
        <v>367.2</v>
      </c>
      <c r="BF7" s="15">
        <v>365.5</v>
      </c>
      <c r="BG7" s="141">
        <v>359.3</v>
      </c>
      <c r="BI7" s="141"/>
    </row>
    <row r="8" spans="1:61" s="142" customFormat="1">
      <c r="A8" s="142" t="s">
        <v>86</v>
      </c>
      <c r="B8" s="143"/>
      <c r="C8" s="142">
        <v>54.228187919463089</v>
      </c>
      <c r="D8" s="144">
        <v>52.75167785234899</v>
      </c>
      <c r="E8" s="142">
        <v>50.604026845637584</v>
      </c>
      <c r="F8" s="144">
        <v>53.020134228187921</v>
      </c>
      <c r="G8" s="143"/>
      <c r="H8" s="142">
        <v>55.302013422818789</v>
      </c>
      <c r="I8" s="144">
        <v>56.510067114093957</v>
      </c>
      <c r="J8" s="142">
        <v>54.899328859060404</v>
      </c>
      <c r="K8" s="144">
        <v>74.630872483221481</v>
      </c>
      <c r="L8" s="143"/>
      <c r="M8" s="142">
        <v>73.422818791946312</v>
      </c>
      <c r="N8" s="144">
        <v>74.765100671140942</v>
      </c>
      <c r="O8" s="142">
        <v>81.208053691275168</v>
      </c>
      <c r="P8" s="144">
        <v>72.617449664429529</v>
      </c>
      <c r="Q8" s="143"/>
      <c r="R8" s="142">
        <v>77.449664429530202</v>
      </c>
      <c r="S8" s="144">
        <v>89.798657718120808</v>
      </c>
      <c r="T8" s="142">
        <v>96.510067114093957</v>
      </c>
      <c r="U8" s="144">
        <v>97.718120805369125</v>
      </c>
      <c r="V8" s="143"/>
      <c r="W8" s="142">
        <v>102.95302013422818</v>
      </c>
      <c r="X8" s="144">
        <v>108.45637583892618</v>
      </c>
      <c r="Y8" s="142">
        <v>113.15436241610738</v>
      </c>
      <c r="Z8" s="144">
        <v>118.65771812080537</v>
      </c>
      <c r="AB8" s="142">
        <v>120.93959731543625</v>
      </c>
      <c r="AC8" s="144">
        <v>114.496644295302</v>
      </c>
      <c r="AD8" s="142">
        <v>112.48322147651007</v>
      </c>
      <c r="AE8" s="144">
        <v>130.46979865771812</v>
      </c>
      <c r="AG8" s="142">
        <v>131.6778523489933</v>
      </c>
      <c r="AH8" s="144">
        <v>133.02013422818791</v>
      </c>
      <c r="AI8" s="142">
        <v>143.62416107382549</v>
      </c>
      <c r="AJ8" s="144">
        <v>170.46979865771812</v>
      </c>
      <c r="AL8" s="142">
        <v>89.127516778523486</v>
      </c>
      <c r="AM8" s="144">
        <v>90.469798657718115</v>
      </c>
      <c r="AN8" s="142">
        <v>87.785234899328856</v>
      </c>
      <c r="AO8" s="144">
        <v>104.56375838926174</v>
      </c>
      <c r="AQ8" s="142">
        <v>107.38255033557047</v>
      </c>
      <c r="AR8" s="144">
        <v>103.89261744966443</v>
      </c>
      <c r="AS8" s="142">
        <v>96.107382550335572</v>
      </c>
      <c r="AT8" s="144">
        <v>103.22147651006711</v>
      </c>
      <c r="AV8" s="142">
        <v>90.469798657718115</v>
      </c>
      <c r="AW8" s="144">
        <v>102.14765100671141</v>
      </c>
      <c r="AX8" s="142">
        <v>107.38255033557047</v>
      </c>
      <c r="AY8" s="144">
        <v>101.87919463087248</v>
      </c>
      <c r="BA8" s="142">
        <v>95.302013422818789</v>
      </c>
      <c r="BB8" s="144">
        <v>85.637583892617442</v>
      </c>
      <c r="BC8" s="142">
        <v>89.664429530201346</v>
      </c>
      <c r="BD8" s="144">
        <v>86.6</v>
      </c>
      <c r="BF8" s="142">
        <v>84.6</v>
      </c>
      <c r="BG8" s="144">
        <v>85.8</v>
      </c>
      <c r="BI8" s="144"/>
    </row>
    <row r="9" spans="1:61" s="145" customFormat="1">
      <c r="A9" s="145" t="s">
        <v>87</v>
      </c>
      <c r="B9" s="146"/>
      <c r="C9" s="145">
        <f>SUM(C6:C8)</f>
        <v>292.48322147651004</v>
      </c>
      <c r="D9" s="147">
        <f>SUM(D6:D8)</f>
        <v>296.510067114094</v>
      </c>
      <c r="E9" s="145">
        <f>SUM(E6:E8)</f>
        <v>298.65771812080538</v>
      </c>
      <c r="F9" s="147">
        <f>SUM(F6:F8)</f>
        <v>296.77852348993287</v>
      </c>
      <c r="G9" s="146"/>
      <c r="H9" s="145">
        <f>SUM(H6:H8)</f>
        <v>304.16107382550331</v>
      </c>
      <c r="I9" s="147">
        <f>SUM(I6:I8)</f>
        <v>289.93288590604027</v>
      </c>
      <c r="J9" s="145">
        <f>SUM(J6:J8)</f>
        <v>291.40939597315435</v>
      </c>
      <c r="K9" s="147">
        <f>SUM(K6:K8)</f>
        <v>293.28859060402687</v>
      </c>
      <c r="L9" s="146"/>
      <c r="M9" s="145">
        <f>SUM(M6:M8)</f>
        <v>371.67785234899333</v>
      </c>
      <c r="N9" s="147">
        <f>SUM(N6:N8)</f>
        <v>390.60402684563758</v>
      </c>
      <c r="O9" s="145">
        <f>SUM(O6:O8)</f>
        <v>449.66442953020135</v>
      </c>
      <c r="P9" s="147">
        <f>SUM(P6:P8)</f>
        <v>461.20805369127515</v>
      </c>
      <c r="Q9" s="146"/>
      <c r="R9" s="145">
        <f>SUM(R6:R8)</f>
        <v>483.62416107382546</v>
      </c>
      <c r="S9" s="147">
        <f>SUM(S6:S8)</f>
        <v>527.3825503355705</v>
      </c>
      <c r="T9" s="145">
        <f>SUM(T6:T8)</f>
        <v>560.80536912751677</v>
      </c>
      <c r="U9" s="147">
        <f>SUM(U6:U8)</f>
        <v>580.13422818791946</v>
      </c>
      <c r="V9" s="146"/>
      <c r="W9" s="145">
        <f>SUM(W6:W8)</f>
        <v>605.90604026845631</v>
      </c>
      <c r="X9" s="147">
        <f>SUM(X6:X8)</f>
        <v>638.38926174496646</v>
      </c>
      <c r="Y9" s="145">
        <f>SUM(Y6:Y8)</f>
        <v>668.724832214765</v>
      </c>
      <c r="Z9" s="147">
        <f>SUM(Z6:Z8)</f>
        <v>694.22818791946304</v>
      </c>
      <c r="AB9" s="145">
        <f>SUM(AB6:AB8)</f>
        <v>743.22147651006708</v>
      </c>
      <c r="AC9" s="147">
        <f>SUM(AC6:AC8)</f>
        <v>767.24832214765092</v>
      </c>
      <c r="AD9" s="145">
        <f>SUM(AD6:AD8)</f>
        <v>762.28187919463085</v>
      </c>
      <c r="AE9" s="147">
        <f>SUM(AE6:AE8)</f>
        <v>800.53691275167785</v>
      </c>
      <c r="AG9" s="145">
        <f>SUM(AG6:AG8)</f>
        <v>807.24832214765104</v>
      </c>
      <c r="AH9" s="147">
        <f>SUM(AH6:AH8)</f>
        <v>814.09395973154358</v>
      </c>
      <c r="AI9" s="145">
        <f>SUM(AI6:AI8)</f>
        <v>841.87919463087246</v>
      </c>
      <c r="AJ9" s="147">
        <f>SUM(AJ6:AJ8)</f>
        <v>874.89932885906035</v>
      </c>
      <c r="AL9" s="145">
        <f>SUM(AL6:AL8)</f>
        <v>793.15436241610735</v>
      </c>
      <c r="AM9" s="147">
        <f>SUM(AM6:AM8)</f>
        <v>799.86577181208042</v>
      </c>
      <c r="AN9" s="145">
        <f>SUM(AN6:AN8)</f>
        <v>794.22818791946304</v>
      </c>
      <c r="AO9" s="147">
        <f>SUM(AO6:AO8)</f>
        <v>810.60402684563746</v>
      </c>
      <c r="AQ9" s="145">
        <f>SUM(AQ6:AQ8)</f>
        <v>814.09395973154358</v>
      </c>
      <c r="AR9" s="147">
        <f>SUM(AR6:AR8)</f>
        <v>802.28187919463085</v>
      </c>
      <c r="AS9" s="145">
        <f>SUM(AS6:AS8)</f>
        <v>792.48322147651015</v>
      </c>
      <c r="AT9" s="147">
        <f>SUM(AT6:AT8)</f>
        <v>793.02013422818789</v>
      </c>
      <c r="AV9" s="145">
        <f>SUM(AV6:AV8)</f>
        <v>775.97315436241604</v>
      </c>
      <c r="AW9" s="147">
        <f>SUM(AW6:AW8)</f>
        <v>785.10067114093954</v>
      </c>
      <c r="AX9" s="145">
        <f>SUM(AX6:AX8)</f>
        <v>806.30872483221481</v>
      </c>
      <c r="AY9" s="147">
        <f>SUM(AY6:AY8)</f>
        <v>801.20805369127515</v>
      </c>
      <c r="BA9" s="145">
        <f>SUM(BA6:BA8)</f>
        <v>817.18120805369131</v>
      </c>
      <c r="BB9" s="147">
        <f>SUM(BB6:BB8)</f>
        <v>775.83892617449646</v>
      </c>
      <c r="BC9" s="148">
        <f>SUM(BC6:BC8)</f>
        <v>771.14093959731542</v>
      </c>
      <c r="BD9" s="147">
        <f>SUM(BD6:BD8)</f>
        <v>787</v>
      </c>
      <c r="BF9" s="145">
        <f>SUM(BF6:BF8)</f>
        <v>819.30000000000007</v>
      </c>
      <c r="BG9" s="145">
        <f>SUM(BG6:BG8)</f>
        <v>818.59999999999991</v>
      </c>
      <c r="BH9" s="148"/>
      <c r="BI9" s="147"/>
    </row>
    <row r="10" spans="1:61">
      <c r="D10" s="141"/>
      <c r="F10" s="141"/>
      <c r="I10" s="141"/>
      <c r="K10" s="141"/>
      <c r="N10" s="141"/>
      <c r="P10" s="141"/>
      <c r="S10" s="141"/>
      <c r="U10" s="141"/>
      <c r="X10" s="141"/>
      <c r="Z10" s="141"/>
      <c r="AC10" s="141"/>
      <c r="AE10" s="141"/>
      <c r="AH10" s="141"/>
      <c r="AJ10" s="141"/>
      <c r="AM10" s="141"/>
      <c r="AO10" s="141"/>
      <c r="AR10" s="141"/>
      <c r="AT10" s="141"/>
      <c r="AW10" s="141"/>
      <c r="AY10" s="141"/>
      <c r="BB10" s="141"/>
      <c r="BD10" s="141"/>
      <c r="BG10" s="141"/>
      <c r="BI10" s="141"/>
    </row>
    <row r="11" spans="1:61">
      <c r="A11" s="15" t="s">
        <v>88</v>
      </c>
      <c r="C11" s="15">
        <v>201.74496644295303</v>
      </c>
      <c r="D11" s="141">
        <v>203.35570469798657</v>
      </c>
      <c r="E11" s="15">
        <v>208.99328859060401</v>
      </c>
      <c r="F11" s="141">
        <v>217.98657718120805</v>
      </c>
      <c r="H11" s="15">
        <v>240</v>
      </c>
      <c r="I11" s="141">
        <v>256.24161073825502</v>
      </c>
      <c r="J11" s="15">
        <v>273.28859060402687</v>
      </c>
      <c r="K11" s="141">
        <v>254.22818791946307</v>
      </c>
      <c r="M11" s="15">
        <v>298.255033557047</v>
      </c>
      <c r="N11" s="141">
        <v>315.70469798657717</v>
      </c>
      <c r="O11" s="15">
        <v>342.68456375838923</v>
      </c>
      <c r="P11" s="141">
        <v>306.97986577181206</v>
      </c>
      <c r="R11" s="15">
        <v>354.63087248322148</v>
      </c>
      <c r="S11" s="141">
        <v>361.47651006711408</v>
      </c>
      <c r="T11" s="15">
        <v>365.23489932885906</v>
      </c>
      <c r="U11" s="141">
        <v>299.06040268456377</v>
      </c>
      <c r="W11" s="15">
        <v>311.40939597315435</v>
      </c>
      <c r="X11" s="141">
        <v>288.59060402684565</v>
      </c>
      <c r="Y11" s="15">
        <v>282.95302013422815</v>
      </c>
      <c r="Z11" s="141">
        <v>294.63087248322148</v>
      </c>
      <c r="AB11" s="15">
        <v>341.61073825503354</v>
      </c>
      <c r="AC11" s="141">
        <v>383.22147651006708</v>
      </c>
      <c r="AD11" s="15">
        <v>388.85906040268458</v>
      </c>
      <c r="AE11" s="141">
        <v>381.20805369127515</v>
      </c>
      <c r="AG11" s="15">
        <v>457.7181208053691</v>
      </c>
      <c r="AH11" s="141">
        <v>433.82550335570471</v>
      </c>
      <c r="AI11" s="15">
        <v>447.38255033557044</v>
      </c>
      <c r="AJ11" s="141">
        <v>387.78523489932883</v>
      </c>
      <c r="AL11" s="15">
        <v>446.30872483221475</v>
      </c>
      <c r="AM11" s="141">
        <v>438.79194630872485</v>
      </c>
      <c r="AN11" s="15">
        <v>439.32885906040269</v>
      </c>
      <c r="AO11" s="141">
        <v>368.32214765100673</v>
      </c>
      <c r="AQ11" s="15">
        <v>455.9731543624161</v>
      </c>
      <c r="AR11" s="141">
        <v>405.50335570469798</v>
      </c>
      <c r="AS11" s="15">
        <v>399.06040268456377</v>
      </c>
      <c r="AT11" s="141">
        <v>356.6442953020134</v>
      </c>
      <c r="AV11" s="15">
        <v>382.28187919463085</v>
      </c>
      <c r="AW11" s="141">
        <v>371.54362416107381</v>
      </c>
      <c r="AX11" s="15">
        <v>388.05369127516775</v>
      </c>
      <c r="AY11" s="141">
        <v>350.60402684563758</v>
      </c>
      <c r="BA11" s="15">
        <v>392.21476510067112</v>
      </c>
      <c r="BB11" s="141">
        <v>405.50335570469798</v>
      </c>
      <c r="BC11" s="15">
        <v>380</v>
      </c>
      <c r="BD11" s="141">
        <v>342.5</v>
      </c>
      <c r="BF11" s="15">
        <v>370.6</v>
      </c>
      <c r="BG11" s="141">
        <v>393.4</v>
      </c>
      <c r="BI11" s="141"/>
    </row>
    <row r="12" spans="1:61">
      <c r="A12" s="15" t="s">
        <v>20</v>
      </c>
      <c r="C12" s="15">
        <v>248.3221476510067</v>
      </c>
      <c r="D12" s="141">
        <v>271.67785234899327</v>
      </c>
      <c r="E12" s="15">
        <v>276.91275167785233</v>
      </c>
      <c r="F12" s="141">
        <v>273.1543624161074</v>
      </c>
      <c r="H12" s="15">
        <v>297.18120805369125</v>
      </c>
      <c r="I12" s="141">
        <v>319.06040268456377</v>
      </c>
      <c r="J12" s="15">
        <v>317.18120805369125</v>
      </c>
      <c r="K12" s="141">
        <v>295.9731543624161</v>
      </c>
      <c r="M12" s="15">
        <v>347.24832214765098</v>
      </c>
      <c r="N12" s="141">
        <v>403.89261744966444</v>
      </c>
      <c r="O12" s="15">
        <v>390.33557046979865</v>
      </c>
      <c r="P12" s="141">
        <v>378.38926174496646</v>
      </c>
      <c r="R12" s="15">
        <v>395.70469798657717</v>
      </c>
      <c r="S12" s="141">
        <v>425.7718120805369</v>
      </c>
      <c r="T12" s="15">
        <v>403.22147651006708</v>
      </c>
      <c r="U12" s="141">
        <v>375.57046979865771</v>
      </c>
      <c r="W12" s="15">
        <v>361.34228187919462</v>
      </c>
      <c r="X12" s="141">
        <v>371.54362416107381</v>
      </c>
      <c r="Y12" s="15">
        <v>374.36241610738256</v>
      </c>
      <c r="Z12" s="141">
        <v>335.9731543624161</v>
      </c>
      <c r="AB12" s="15">
        <v>385.63758389261744</v>
      </c>
      <c r="AC12" s="141">
        <v>445.7718120805369</v>
      </c>
      <c r="AD12" s="15">
        <v>478.12080536912748</v>
      </c>
      <c r="AE12" s="141">
        <v>470.46979865771812</v>
      </c>
      <c r="AG12" s="15">
        <v>534.89932885906035</v>
      </c>
      <c r="AH12" s="141">
        <v>534.76510067114089</v>
      </c>
      <c r="AI12" s="15">
        <v>509.53020134228188</v>
      </c>
      <c r="AJ12" s="141">
        <v>504.83221476510067</v>
      </c>
      <c r="AL12" s="15">
        <v>490.06711409395973</v>
      </c>
      <c r="AM12" s="141">
        <v>525.36912751677846</v>
      </c>
      <c r="AN12" s="15">
        <v>501.744966442953</v>
      </c>
      <c r="AO12" s="141">
        <v>508.72483221476512</v>
      </c>
      <c r="AQ12" s="15">
        <v>512.48322147651004</v>
      </c>
      <c r="AR12" s="141">
        <v>531.00671140939596</v>
      </c>
      <c r="AS12" s="15">
        <v>577.04697986577185</v>
      </c>
      <c r="AT12" s="141">
        <v>544.16107382550331</v>
      </c>
      <c r="AV12" s="15">
        <v>550.60402684563758</v>
      </c>
      <c r="AW12" s="141">
        <v>555.70469798657712</v>
      </c>
      <c r="AX12" s="15">
        <v>567.24832214765104</v>
      </c>
      <c r="AY12" s="141">
        <v>454.09395973154363</v>
      </c>
      <c r="BA12" s="15">
        <v>584.96644295302008</v>
      </c>
      <c r="BB12" s="141">
        <v>615.30201342281873</v>
      </c>
      <c r="BC12" s="15">
        <v>546.97986577181211</v>
      </c>
      <c r="BD12" s="141">
        <f>490.7+5.1</f>
        <v>495.8</v>
      </c>
      <c r="BF12" s="15">
        <v>501.5</v>
      </c>
      <c r="BG12" s="141">
        <v>544.1</v>
      </c>
      <c r="BI12" s="141"/>
    </row>
    <row r="13" spans="1:61">
      <c r="A13" s="15" t="s">
        <v>124</v>
      </c>
      <c r="D13" s="141"/>
      <c r="F13" s="141"/>
      <c r="I13" s="141"/>
      <c r="K13" s="141"/>
      <c r="N13" s="141"/>
      <c r="P13" s="141"/>
      <c r="S13" s="141"/>
      <c r="U13" s="141"/>
      <c r="X13" s="141"/>
      <c r="Z13" s="141"/>
      <c r="AC13" s="141"/>
      <c r="AE13" s="141"/>
      <c r="AH13" s="141"/>
      <c r="AJ13" s="141"/>
      <c r="AL13" s="15">
        <v>76.644295302013418</v>
      </c>
      <c r="AM13" s="141">
        <v>0</v>
      </c>
      <c r="AN13" s="15">
        <v>0</v>
      </c>
      <c r="AO13" s="141">
        <v>0</v>
      </c>
      <c r="AR13" s="141"/>
      <c r="AT13" s="141"/>
      <c r="AW13" s="141"/>
      <c r="AY13" s="141"/>
      <c r="BB13" s="141"/>
      <c r="BD13" s="141"/>
      <c r="BG13" s="141"/>
      <c r="BI13" s="141"/>
    </row>
    <row r="14" spans="1:61">
      <c r="A14" s="15" t="s">
        <v>21</v>
      </c>
      <c r="C14" s="15">
        <v>5.9060402684563753</v>
      </c>
      <c r="D14" s="141">
        <v>4.1610738255033555</v>
      </c>
      <c r="E14" s="15">
        <v>3.8926174496644292</v>
      </c>
      <c r="F14" s="141">
        <v>3.7583892617449663</v>
      </c>
      <c r="H14" s="15">
        <v>3.4899328859060401</v>
      </c>
      <c r="I14" s="141">
        <v>1.8791946308724832</v>
      </c>
      <c r="J14" s="15">
        <v>1.8791946308724832</v>
      </c>
      <c r="K14" s="141">
        <v>6.5771812080536911</v>
      </c>
      <c r="M14" s="15">
        <v>4.9664429530201337</v>
      </c>
      <c r="N14" s="141">
        <v>4.0268456375838921</v>
      </c>
      <c r="O14" s="15">
        <v>3.2214765100671139</v>
      </c>
      <c r="P14" s="141">
        <v>2.4161073825503356</v>
      </c>
      <c r="R14" s="15">
        <v>1.7449664429530201</v>
      </c>
      <c r="S14" s="141">
        <v>0</v>
      </c>
      <c r="T14" s="15">
        <v>0</v>
      </c>
      <c r="U14" s="141">
        <v>0</v>
      </c>
      <c r="W14" s="15">
        <v>0</v>
      </c>
      <c r="X14" s="141">
        <v>0</v>
      </c>
      <c r="Y14" s="15">
        <v>0</v>
      </c>
      <c r="Z14" s="141">
        <v>0</v>
      </c>
      <c r="AB14" s="15">
        <v>0</v>
      </c>
      <c r="AC14" s="141">
        <v>0</v>
      </c>
      <c r="AD14" s="15">
        <v>0</v>
      </c>
      <c r="AE14" s="141">
        <v>0</v>
      </c>
      <c r="AG14" s="15">
        <v>0</v>
      </c>
      <c r="AH14" s="141">
        <v>0</v>
      </c>
      <c r="AI14" s="15">
        <v>0</v>
      </c>
      <c r="AJ14" s="141">
        <v>0</v>
      </c>
      <c r="AL14" s="15">
        <v>0</v>
      </c>
      <c r="AM14" s="141">
        <v>0</v>
      </c>
      <c r="AN14" s="15">
        <v>0</v>
      </c>
      <c r="AO14" s="141">
        <v>0</v>
      </c>
      <c r="AR14" s="141"/>
      <c r="AT14" s="141"/>
      <c r="AW14" s="141"/>
      <c r="AY14" s="141"/>
      <c r="BB14" s="141"/>
      <c r="BD14" s="141"/>
      <c r="BG14" s="141"/>
      <c r="BI14" s="141"/>
    </row>
    <row r="15" spans="1:61" s="142" customFormat="1">
      <c r="A15" s="142" t="s">
        <v>22</v>
      </c>
      <c r="B15" s="143"/>
      <c r="C15" s="142">
        <v>46.442953020134226</v>
      </c>
      <c r="D15" s="144">
        <v>33.825503355704697</v>
      </c>
      <c r="E15" s="142">
        <v>30.604026845637584</v>
      </c>
      <c r="F15" s="144">
        <v>37.449664429530202</v>
      </c>
      <c r="G15" s="143"/>
      <c r="H15" s="142">
        <v>21.879194630872483</v>
      </c>
      <c r="I15" s="144">
        <v>61.208053691275168</v>
      </c>
      <c r="J15" s="142">
        <v>41.073825503355707</v>
      </c>
      <c r="K15" s="144">
        <v>136.51006711409394</v>
      </c>
      <c r="L15" s="143"/>
      <c r="M15" s="142">
        <v>50.335570469798654</v>
      </c>
      <c r="N15" s="144">
        <v>38.523489932885909</v>
      </c>
      <c r="O15" s="142">
        <v>43.758389261744966</v>
      </c>
      <c r="P15" s="144">
        <v>72.348993288590606</v>
      </c>
      <c r="Q15" s="143"/>
      <c r="R15" s="142">
        <v>60.268456375838923</v>
      </c>
      <c r="S15" s="144">
        <v>58.65771812080537</v>
      </c>
      <c r="T15" s="142">
        <v>54.496644295302012</v>
      </c>
      <c r="U15" s="144">
        <v>78.791946308724832</v>
      </c>
      <c r="V15" s="143"/>
      <c r="W15" s="142">
        <v>28.053691275167786</v>
      </c>
      <c r="X15" s="144">
        <v>28.859060402684563</v>
      </c>
      <c r="Y15" s="142">
        <v>28.724832214765101</v>
      </c>
      <c r="Z15" s="144">
        <v>34.09395973154362</v>
      </c>
      <c r="AB15" s="142">
        <v>27.651006711409394</v>
      </c>
      <c r="AC15" s="144">
        <v>32.483221476510067</v>
      </c>
      <c r="AD15" s="142">
        <v>28.859060402684563</v>
      </c>
      <c r="AE15" s="144">
        <v>33.154362416107382</v>
      </c>
      <c r="AG15" s="142">
        <v>33.691275167785236</v>
      </c>
      <c r="AH15" s="144">
        <v>33.422818791946305</v>
      </c>
      <c r="AI15" s="142">
        <v>27.651006711409394</v>
      </c>
      <c r="AJ15" s="144">
        <v>36.375838926174495</v>
      </c>
      <c r="AL15" s="142">
        <v>42.281879194630875</v>
      </c>
      <c r="AM15" s="144">
        <v>32.617449664429529</v>
      </c>
      <c r="AN15" s="142">
        <v>37.583892617449663</v>
      </c>
      <c r="AO15" s="144">
        <v>48.724832214765101</v>
      </c>
      <c r="AQ15" s="142">
        <v>51.140939597315437</v>
      </c>
      <c r="AR15" s="144">
        <v>52.483221476510067</v>
      </c>
      <c r="AS15" s="142">
        <v>48.053691275167786</v>
      </c>
      <c r="AT15" s="144">
        <v>50.469798657718123</v>
      </c>
      <c r="AV15" s="142">
        <v>54.630872483221474</v>
      </c>
      <c r="AW15" s="144">
        <v>39.463087248322147</v>
      </c>
      <c r="AX15" s="142">
        <v>41.34228187919463</v>
      </c>
      <c r="AY15" s="144">
        <v>50.201342281879192</v>
      </c>
      <c r="BA15" s="142">
        <v>57.04697986577181</v>
      </c>
      <c r="BB15" s="144">
        <v>64.026845637583889</v>
      </c>
      <c r="BC15" s="142">
        <v>37.718120805369125</v>
      </c>
      <c r="BD15" s="144">
        <v>58.3</v>
      </c>
      <c r="BF15" s="142">
        <v>45</v>
      </c>
      <c r="BG15" s="144">
        <v>31.1</v>
      </c>
      <c r="BI15" s="144"/>
    </row>
    <row r="16" spans="1:61" s="149" customFormat="1">
      <c r="A16" s="149" t="s">
        <v>23</v>
      </c>
      <c r="B16" s="150"/>
      <c r="C16" s="149">
        <f>SUM(C11:C15)</f>
        <v>502.41610738255031</v>
      </c>
      <c r="D16" s="151">
        <f>SUM(D11:D15)</f>
        <v>513.02013422818789</v>
      </c>
      <c r="E16" s="149">
        <f>SUM(E11:E15)</f>
        <v>520.40268456375838</v>
      </c>
      <c r="F16" s="151">
        <f>SUM(F11:F15)</f>
        <v>532.34899328859058</v>
      </c>
      <c r="G16" s="150"/>
      <c r="H16" s="149">
        <f>SUM(H11:H15)</f>
        <v>562.55033557046977</v>
      </c>
      <c r="I16" s="151">
        <f>SUM(I11:I15)</f>
        <v>638.38926174496646</v>
      </c>
      <c r="J16" s="149">
        <f>SUM(J11:J15)</f>
        <v>633.42281879194627</v>
      </c>
      <c r="K16" s="151">
        <f>SUM(K11:K15)</f>
        <v>693.28859060402692</v>
      </c>
      <c r="L16" s="150"/>
      <c r="M16" s="149">
        <f>SUM(M11:M15)</f>
        <v>700.80536912751666</v>
      </c>
      <c r="N16" s="151">
        <f>SUM(N11:N15)</f>
        <v>762.14765100671138</v>
      </c>
      <c r="O16" s="149">
        <f>SUM(O11:O15)</f>
        <v>779.99999999999989</v>
      </c>
      <c r="P16" s="151">
        <f>SUM(P11:P15)</f>
        <v>760.13422818791935</v>
      </c>
      <c r="Q16" s="150"/>
      <c r="R16" s="149">
        <f>SUM(R11:R15)</f>
        <v>812.34899328859058</v>
      </c>
      <c r="S16" s="151">
        <f>SUM(S11:S15)</f>
        <v>845.90604026845631</v>
      </c>
      <c r="T16" s="149">
        <f>SUM(T11:T15)</f>
        <v>822.95302013422804</v>
      </c>
      <c r="U16" s="151">
        <f>SUM(U11:U15)</f>
        <v>753.42281879194638</v>
      </c>
      <c r="V16" s="150"/>
      <c r="W16" s="149">
        <f>SUM(W11:W15)</f>
        <v>700.80536912751677</v>
      </c>
      <c r="X16" s="151">
        <f>SUM(X11:X15)</f>
        <v>688.99328859060404</v>
      </c>
      <c r="Y16" s="149">
        <f>SUM(Y11:Y15)</f>
        <v>686.04026845637588</v>
      </c>
      <c r="Z16" s="151">
        <f>SUM(Z11:Z15)</f>
        <v>664.69798657718115</v>
      </c>
      <c r="AB16" s="149">
        <f>SUM(AB11:AB15)</f>
        <v>754.89932885906035</v>
      </c>
      <c r="AC16" s="151">
        <f>SUM(AC11:AC15)</f>
        <v>861.47651006711396</v>
      </c>
      <c r="AD16" s="149">
        <f>SUM(AD11:AD15)</f>
        <v>895.83892617449658</v>
      </c>
      <c r="AE16" s="151">
        <f>SUM(AE11:AE15)</f>
        <v>884.83221476510062</v>
      </c>
      <c r="AG16" s="149">
        <f>SUM(AG11:AG15)</f>
        <v>1026.3087248322147</v>
      </c>
      <c r="AH16" s="151">
        <f>SUM(AH11:AH15)</f>
        <v>1002.0134228187918</v>
      </c>
      <c r="AI16" s="149">
        <f>SUM(AI11:AI15)</f>
        <v>984.56375838926181</v>
      </c>
      <c r="AJ16" s="151">
        <f>SUM(AJ11:AJ15)</f>
        <v>928.99328859060404</v>
      </c>
      <c r="AL16" s="149">
        <f>SUM(AL11:AL15)</f>
        <v>1055.3020134228188</v>
      </c>
      <c r="AM16" s="151">
        <f>SUM(AM11:AM15)</f>
        <v>996.77852348993281</v>
      </c>
      <c r="AN16" s="149">
        <f>SUM(AN11:AN15)</f>
        <v>978.65771812080538</v>
      </c>
      <c r="AO16" s="151">
        <f>SUM(AO11:AO15)</f>
        <v>925.77181208053696</v>
      </c>
      <c r="AQ16" s="149">
        <f>SUM(AQ11:AQ15)</f>
        <v>1019.5973154362415</v>
      </c>
      <c r="AR16" s="151">
        <f>SUM(AR11:AR15)</f>
        <v>988.99328859060404</v>
      </c>
      <c r="AS16" s="149">
        <f>SUM(AS11:AS15)</f>
        <v>1024.1610738255033</v>
      </c>
      <c r="AT16" s="151">
        <f>SUM(AT11:AT15)</f>
        <v>951.27516778523488</v>
      </c>
      <c r="AV16" s="149">
        <f>SUM(AV11:AV15)</f>
        <v>987.51677852348985</v>
      </c>
      <c r="AW16" s="151">
        <f>SUM(AW11:AW15)</f>
        <v>966.71140939597308</v>
      </c>
      <c r="AX16" s="149">
        <f>SUM(AX11:AX15)</f>
        <v>996.64429530201346</v>
      </c>
      <c r="AY16" s="151">
        <f>SUM(AY11:AY15)</f>
        <v>854.89932885906035</v>
      </c>
      <c r="BA16" s="149">
        <f>SUM(BA11:BA15)</f>
        <v>1034.2281879194629</v>
      </c>
      <c r="BB16" s="151">
        <f>SUM(BB11:BB15)</f>
        <v>1084.8322147651006</v>
      </c>
      <c r="BC16" s="149">
        <f>SUM(BC11:BC15)</f>
        <v>964.69798657718127</v>
      </c>
      <c r="BD16" s="151">
        <f>SUM(BD11:BD15)</f>
        <v>896.59999999999991</v>
      </c>
      <c r="BF16" s="149">
        <f>SUM(BF11:BF15)</f>
        <v>917.1</v>
      </c>
      <c r="BG16" s="151">
        <f>SUM(BG11:BG15)</f>
        <v>968.6</v>
      </c>
      <c r="BI16" s="151"/>
    </row>
    <row r="17" spans="1:61" s="142" customFormat="1">
      <c r="B17" s="143"/>
      <c r="D17" s="144"/>
      <c r="F17" s="144"/>
      <c r="G17" s="143"/>
      <c r="I17" s="144"/>
      <c r="K17" s="144"/>
      <c r="L17" s="143"/>
      <c r="N17" s="144"/>
      <c r="P17" s="144"/>
      <c r="Q17" s="143"/>
      <c r="S17" s="144"/>
      <c r="U17" s="144"/>
      <c r="V17" s="143"/>
      <c r="X17" s="144"/>
      <c r="Z17" s="144"/>
      <c r="AC17" s="144"/>
      <c r="AE17" s="144"/>
      <c r="AH17" s="144"/>
      <c r="AJ17" s="144"/>
      <c r="AM17" s="144"/>
      <c r="AO17" s="144"/>
      <c r="AR17" s="144"/>
      <c r="AT17" s="144"/>
      <c r="AW17" s="144"/>
      <c r="AY17" s="144"/>
      <c r="BB17" s="144"/>
      <c r="BD17" s="144"/>
      <c r="BG17" s="144"/>
      <c r="BI17" s="144"/>
    </row>
    <row r="18" spans="1:61" s="145" customFormat="1">
      <c r="A18" s="145" t="s">
        <v>24</v>
      </c>
      <c r="B18" s="146"/>
      <c r="C18" s="145">
        <f>C16+C9</f>
        <v>794.89932885906035</v>
      </c>
      <c r="D18" s="147">
        <f>D16+D9</f>
        <v>809.53020134228188</v>
      </c>
      <c r="E18" s="145">
        <f>E16+E9</f>
        <v>819.06040268456377</v>
      </c>
      <c r="F18" s="147">
        <f>F16+F9</f>
        <v>829.12751677852339</v>
      </c>
      <c r="G18" s="146"/>
      <c r="H18" s="145">
        <f>H16+H9</f>
        <v>866.71140939597308</v>
      </c>
      <c r="I18" s="147">
        <f>I16+I9</f>
        <v>928.32214765100673</v>
      </c>
      <c r="J18" s="145">
        <f>J16+J9</f>
        <v>924.83221476510062</v>
      </c>
      <c r="K18" s="147">
        <f>K16+K9</f>
        <v>986.57718120805384</v>
      </c>
      <c r="L18" s="146"/>
      <c r="M18" s="145">
        <f>M16+M9</f>
        <v>1072.4832214765099</v>
      </c>
      <c r="N18" s="147">
        <f>N16+N9</f>
        <v>1152.7516778523491</v>
      </c>
      <c r="O18" s="145">
        <f>O16+O9</f>
        <v>1229.6644295302012</v>
      </c>
      <c r="P18" s="147">
        <f>P16+P9</f>
        <v>1221.3422818791946</v>
      </c>
      <c r="Q18" s="146"/>
      <c r="R18" s="145">
        <f>R16+R9</f>
        <v>1295.9731543624162</v>
      </c>
      <c r="S18" s="147">
        <f>S16+S9</f>
        <v>1373.2885906040269</v>
      </c>
      <c r="T18" s="145">
        <f>T16+T9</f>
        <v>1383.7583892617449</v>
      </c>
      <c r="U18" s="147">
        <f>U16+U9</f>
        <v>1333.5570469798658</v>
      </c>
      <c r="V18" s="146"/>
      <c r="W18" s="145">
        <f>W16+W9</f>
        <v>1306.7114093959731</v>
      </c>
      <c r="X18" s="147">
        <f>X16+X9</f>
        <v>1327.3825503355706</v>
      </c>
      <c r="Y18" s="145">
        <f>Y16+Y9</f>
        <v>1354.7651006711408</v>
      </c>
      <c r="Z18" s="147">
        <f>Z16+Z9</f>
        <v>1358.9261744966443</v>
      </c>
      <c r="AB18" s="145">
        <f>AB16+AB9</f>
        <v>1498.1208053691275</v>
      </c>
      <c r="AC18" s="147">
        <f>AC16+AC9</f>
        <v>1628.7248322147648</v>
      </c>
      <c r="AD18" s="145">
        <f>AD16+AD9</f>
        <v>1658.1208053691275</v>
      </c>
      <c r="AE18" s="147">
        <f>AE16+AE9</f>
        <v>1685.3691275167785</v>
      </c>
      <c r="AG18" s="145">
        <f>AG16+AG9</f>
        <v>1833.5570469798658</v>
      </c>
      <c r="AH18" s="147">
        <f>AH16+AH9</f>
        <v>1816.1073825503354</v>
      </c>
      <c r="AI18" s="145">
        <f>AI16+AI9</f>
        <v>1826.4429530201342</v>
      </c>
      <c r="AJ18" s="147">
        <f>AJ16+AJ9</f>
        <v>1803.8926174496644</v>
      </c>
      <c r="AL18" s="145">
        <f>AL16+AL9</f>
        <v>1848.4563758389263</v>
      </c>
      <c r="AM18" s="147">
        <f>AM16+AM9</f>
        <v>1796.6442953020132</v>
      </c>
      <c r="AN18" s="145">
        <f>AN16+AN9</f>
        <v>1772.8859060402683</v>
      </c>
      <c r="AO18" s="147">
        <f>AO16+AO9</f>
        <v>1736.3758389261743</v>
      </c>
      <c r="AQ18" s="145">
        <f>AQ16+AQ9</f>
        <v>1833.6912751677851</v>
      </c>
      <c r="AR18" s="147">
        <f>AR16+AR9</f>
        <v>1791.2751677852348</v>
      </c>
      <c r="AS18" s="145">
        <f>AS16+AS9</f>
        <v>1816.6442953020135</v>
      </c>
      <c r="AT18" s="147">
        <f>AT16+AT9</f>
        <v>1744.2953020134228</v>
      </c>
      <c r="AV18" s="145">
        <f>AV16+AV9</f>
        <v>1763.489932885906</v>
      </c>
      <c r="AW18" s="147">
        <f>AW16+AW9</f>
        <v>1751.8120805369126</v>
      </c>
      <c r="AX18" s="145">
        <f>AX16+AX9</f>
        <v>1802.9530201342282</v>
      </c>
      <c r="AY18" s="147">
        <f>AY16+AY9</f>
        <v>1656.1073825503354</v>
      </c>
      <c r="BA18" s="145">
        <f>BA16+BA9</f>
        <v>1851.4093959731542</v>
      </c>
      <c r="BB18" s="147">
        <f>BB16+BB9</f>
        <v>1860.6711409395971</v>
      </c>
      <c r="BC18" s="145">
        <f>BC16+BC9</f>
        <v>1735.8389261744967</v>
      </c>
      <c r="BD18" s="147">
        <f>BD16+BD9</f>
        <v>1683.6</v>
      </c>
      <c r="BF18" s="145">
        <f>BF16+BF9</f>
        <v>1736.4</v>
      </c>
      <c r="BG18" s="147">
        <f>BG16+BG9</f>
        <v>1787.1999999999998</v>
      </c>
      <c r="BI18" s="147"/>
    </row>
    <row r="19" spans="1:61">
      <c r="D19" s="141"/>
      <c r="F19" s="141"/>
      <c r="I19" s="141"/>
      <c r="K19" s="141"/>
      <c r="N19" s="141"/>
      <c r="P19" s="141"/>
      <c r="S19" s="141"/>
      <c r="U19" s="141"/>
      <c r="X19" s="141"/>
      <c r="Z19" s="141"/>
      <c r="AC19" s="141"/>
      <c r="AE19" s="141"/>
      <c r="AH19" s="141"/>
      <c r="AJ19" s="141"/>
      <c r="AM19" s="141"/>
      <c r="AO19" s="141"/>
      <c r="AR19" s="141"/>
      <c r="AT19" s="141"/>
      <c r="AW19" s="141"/>
      <c r="AY19" s="141"/>
      <c r="BB19" s="141"/>
      <c r="BD19" s="141"/>
      <c r="BG19" s="141"/>
      <c r="BI19" s="141"/>
    </row>
    <row r="20" spans="1:61">
      <c r="A20" s="140" t="s">
        <v>19</v>
      </c>
      <c r="D20" s="141"/>
      <c r="F20" s="141"/>
      <c r="I20" s="141"/>
      <c r="K20" s="141"/>
      <c r="N20" s="141"/>
      <c r="P20" s="141"/>
      <c r="S20" s="141"/>
      <c r="U20" s="141"/>
      <c r="X20" s="141"/>
      <c r="Z20" s="141"/>
      <c r="AC20" s="141"/>
      <c r="AE20" s="141"/>
      <c r="AH20" s="141"/>
      <c r="AJ20" s="141"/>
      <c r="AM20" s="141"/>
      <c r="AO20" s="141"/>
      <c r="AR20" s="141"/>
      <c r="AT20" s="141"/>
      <c r="AW20" s="141"/>
      <c r="AY20" s="141"/>
      <c r="BB20" s="141"/>
      <c r="BD20" s="141"/>
      <c r="BG20" s="141"/>
      <c r="BI20" s="141"/>
    </row>
    <row r="21" spans="1:61">
      <c r="A21" s="15" t="s">
        <v>25</v>
      </c>
      <c r="C21" s="15">
        <f>(2742)/7.45</f>
        <v>368.05369127516775</v>
      </c>
      <c r="D21" s="141">
        <v>362.81879194630869</v>
      </c>
      <c r="E21" s="15">
        <v>345.36912751677852</v>
      </c>
      <c r="F21" s="141">
        <v>358.65771812080538</v>
      </c>
      <c r="H21" s="15">
        <v>363.89261744966444</v>
      </c>
      <c r="I21" s="141">
        <v>339.06040268456377</v>
      </c>
      <c r="J21" s="15">
        <v>357.44966442953017</v>
      </c>
      <c r="K21" s="141">
        <v>374.09395973154363</v>
      </c>
      <c r="M21" s="15">
        <v>387.5167785234899</v>
      </c>
      <c r="N21" s="141">
        <v>382.14765100671138</v>
      </c>
      <c r="O21" s="15">
        <v>397.31543624161071</v>
      </c>
      <c r="P21" s="141">
        <v>435.70469798657717</v>
      </c>
      <c r="R21" s="15">
        <v>447.91946308724829</v>
      </c>
      <c r="S21" s="141">
        <v>450.33557046979865</v>
      </c>
      <c r="T21" s="15">
        <v>482.95302013422815</v>
      </c>
      <c r="U21" s="141">
        <v>460</v>
      </c>
      <c r="W21" s="15">
        <v>463.22147651006708</v>
      </c>
      <c r="X21" s="141">
        <v>470.85906040268458</v>
      </c>
      <c r="Y21" s="15">
        <v>474.8993288590604</v>
      </c>
      <c r="Z21" s="141">
        <v>499.19463087248323</v>
      </c>
      <c r="AB21" s="15">
        <v>511.40939597315435</v>
      </c>
      <c r="AC21" s="141">
        <v>540.93959731543623</v>
      </c>
      <c r="AD21" s="15">
        <v>535.83892617449658</v>
      </c>
      <c r="AE21" s="141">
        <v>551.00671140939596</v>
      </c>
      <c r="AG21" s="15">
        <v>535.43624161073819</v>
      </c>
      <c r="AH21" s="141">
        <v>534.63087248322142</v>
      </c>
      <c r="AI21" s="15">
        <v>536.91275167785238</v>
      </c>
      <c r="AJ21" s="141">
        <v>544.96644295302008</v>
      </c>
      <c r="AL21" s="15">
        <v>552.48322147651004</v>
      </c>
      <c r="AM21" s="141">
        <v>745.234899328859</v>
      </c>
      <c r="AN21" s="15">
        <v>758.38926174496646</v>
      </c>
      <c r="AO21" s="141">
        <v>769.1275167785235</v>
      </c>
      <c r="AQ21" s="15">
        <v>747.78523489932888</v>
      </c>
      <c r="AR21" s="141">
        <v>752.08053691275165</v>
      </c>
      <c r="AS21" s="15">
        <v>753.15436241610735</v>
      </c>
      <c r="AT21" s="141">
        <v>760.67114093959731</v>
      </c>
      <c r="AV21" s="15">
        <v>751.67785234899327</v>
      </c>
      <c r="AW21" s="141">
        <v>763.08724832214762</v>
      </c>
      <c r="AX21" s="15">
        <v>793.69127516778519</v>
      </c>
      <c r="AY21" s="141">
        <v>801.20805369127515</v>
      </c>
      <c r="BA21" s="15">
        <v>846.97986577181211</v>
      </c>
      <c r="BB21" s="141">
        <v>802.55033557046977</v>
      </c>
      <c r="BC21" s="15">
        <v>798.79194630872485</v>
      </c>
      <c r="BD21" s="141">
        <v>808.6</v>
      </c>
      <c r="BF21" s="15">
        <v>802.1</v>
      </c>
      <c r="BG21" s="141">
        <v>801.7</v>
      </c>
      <c r="BI21" s="141"/>
    </row>
    <row r="22" spans="1:61" s="142" customFormat="1">
      <c r="A22" s="142" t="s">
        <v>8</v>
      </c>
      <c r="B22" s="143"/>
      <c r="C22" s="142">
        <v>7.7852348993288585</v>
      </c>
      <c r="D22" s="144">
        <v>7.9194630872483218</v>
      </c>
      <c r="E22" s="142">
        <v>8.4563758389261743</v>
      </c>
      <c r="F22" s="144">
        <v>8.4563758389261743</v>
      </c>
      <c r="G22" s="143"/>
      <c r="H22" s="142">
        <v>8.5906040268456376</v>
      </c>
      <c r="I22" s="144">
        <v>9.5302013422818792</v>
      </c>
      <c r="J22" s="142">
        <v>1.8791946308724832</v>
      </c>
      <c r="K22" s="144">
        <v>2.5503355704697985</v>
      </c>
      <c r="L22" s="143"/>
      <c r="M22" s="142">
        <v>2.6845637583892619</v>
      </c>
      <c r="N22" s="144">
        <v>3.3557046979865772</v>
      </c>
      <c r="O22" s="142">
        <v>3.8926174496644292</v>
      </c>
      <c r="P22" s="144">
        <v>4.9664429530201337</v>
      </c>
      <c r="Q22" s="143"/>
      <c r="R22" s="142">
        <v>5.2348993288590604</v>
      </c>
      <c r="S22" s="144">
        <v>5.6375838926174495</v>
      </c>
      <c r="T22" s="142">
        <v>6.174496644295302</v>
      </c>
      <c r="U22" s="144">
        <v>5.1006711409395971</v>
      </c>
      <c r="V22" s="143"/>
      <c r="W22" s="142">
        <v>4.2953020134228188</v>
      </c>
      <c r="X22" s="144">
        <v>4.6174496644295298</v>
      </c>
      <c r="Y22" s="142">
        <v>5.5033557046979862</v>
      </c>
      <c r="Z22" s="144">
        <v>2.8187919463087248</v>
      </c>
      <c r="AB22" s="142">
        <v>2.9530201342281877</v>
      </c>
      <c r="AC22" s="144">
        <v>3.087248322147651</v>
      </c>
      <c r="AD22" s="142">
        <v>0.93959731543624159</v>
      </c>
      <c r="AE22" s="144">
        <v>0.93959731543624159</v>
      </c>
      <c r="AG22" s="142">
        <v>0.67114093959731547</v>
      </c>
      <c r="AH22" s="144">
        <v>0.80536912751677847</v>
      </c>
      <c r="AI22" s="142">
        <v>0.80536912751677847</v>
      </c>
      <c r="AJ22" s="144">
        <v>0.80536912751677847</v>
      </c>
      <c r="AL22" s="142">
        <v>0.80536912751677847</v>
      </c>
      <c r="AM22" s="144">
        <v>0.80536912751677847</v>
      </c>
      <c r="AN22" s="142">
        <v>0.93959731543624159</v>
      </c>
      <c r="AO22" s="144">
        <v>0.93959731543624159</v>
      </c>
      <c r="AQ22" s="142">
        <v>1.0738255033557047</v>
      </c>
      <c r="AR22" s="144">
        <v>0.93959731543624159</v>
      </c>
      <c r="AS22" s="142">
        <v>0.93959731543624159</v>
      </c>
      <c r="AT22" s="144">
        <v>0.93959731543624159</v>
      </c>
      <c r="AV22" s="142">
        <v>0.80536912751677847</v>
      </c>
      <c r="AW22" s="144">
        <v>0.80536912751677847</v>
      </c>
      <c r="AX22" s="142">
        <v>0.80536912751677847</v>
      </c>
      <c r="AY22" s="144">
        <v>0.80536912751677847</v>
      </c>
      <c r="BA22" s="142">
        <v>0.93959731543624159</v>
      </c>
      <c r="BB22" s="144">
        <v>0.93959731543624159</v>
      </c>
      <c r="BC22" s="142">
        <v>0.93959731543624159</v>
      </c>
      <c r="BD22" s="144">
        <v>0.9</v>
      </c>
      <c r="BF22" s="142">
        <v>0.93959731543624159</v>
      </c>
      <c r="BG22" s="144">
        <v>0</v>
      </c>
      <c r="BI22" s="144"/>
    </row>
    <row r="23" spans="1:61">
      <c r="A23" s="15" t="s">
        <v>161</v>
      </c>
      <c r="C23" s="15">
        <f>SUM(C21:C22)</f>
        <v>375.83892617449663</v>
      </c>
      <c r="D23" s="141">
        <f>SUM(D21:D22)</f>
        <v>370.73825503355704</v>
      </c>
      <c r="E23" s="15">
        <f>SUM(E21:E22)</f>
        <v>353.82550335570471</v>
      </c>
      <c r="F23" s="141">
        <f>SUM(F21:F22)</f>
        <v>367.11409395973158</v>
      </c>
      <c r="H23" s="15">
        <f>SUM(H21:H22)</f>
        <v>372.4832214765101</v>
      </c>
      <c r="I23" s="141">
        <f>SUM(I21:I22)</f>
        <v>348.59060402684565</v>
      </c>
      <c r="J23" s="15">
        <f>SUM(J21:J22)</f>
        <v>359.32885906040264</v>
      </c>
      <c r="K23" s="141">
        <f>SUM(K21:K22)</f>
        <v>376.64429530201346</v>
      </c>
      <c r="M23" s="15">
        <f>SUM(M21:M22)</f>
        <v>390.20134228187919</v>
      </c>
      <c r="N23" s="141">
        <f>SUM(N21:N22)</f>
        <v>385.50335570469798</v>
      </c>
      <c r="O23" s="15">
        <f>SUM(O21:O22)</f>
        <v>401.20805369127515</v>
      </c>
      <c r="P23" s="141">
        <f>SUM(P21:P22)</f>
        <v>440.67114093959731</v>
      </c>
      <c r="R23" s="15">
        <f>SUM(R21:R22)</f>
        <v>453.15436241610735</v>
      </c>
      <c r="S23" s="141">
        <f>SUM(S21:S22)</f>
        <v>455.9731543624161</v>
      </c>
      <c r="T23" s="15">
        <f>SUM(T21:T22)</f>
        <v>489.12751677852344</v>
      </c>
      <c r="U23" s="141">
        <f>SUM(U21:U22)</f>
        <v>465.1006711409396</v>
      </c>
      <c r="W23" s="15">
        <f>SUM(W21:W22)</f>
        <v>467.5167785234899</v>
      </c>
      <c r="X23" s="141">
        <f>SUM(X21:X22)</f>
        <v>475.47651006711413</v>
      </c>
      <c r="Y23" s="15">
        <f>SUM(Y21:Y22)</f>
        <v>480.40268456375838</v>
      </c>
      <c r="Z23" s="141">
        <f>SUM(Z21:Z22)</f>
        <v>502.01342281879198</v>
      </c>
      <c r="AB23" s="15">
        <f>SUM(AB21:AB22)</f>
        <v>514.3624161073825</v>
      </c>
      <c r="AC23" s="141">
        <f>SUM(AC21:AC22)</f>
        <v>544.02684563758385</v>
      </c>
      <c r="AD23" s="15">
        <f>SUM(AD21:AD22)</f>
        <v>536.77852348993281</v>
      </c>
      <c r="AE23" s="141">
        <f>SUM(AE21:AE22)</f>
        <v>551.94630872483219</v>
      </c>
      <c r="AG23" s="15">
        <f>SUM(AG21:AG22)</f>
        <v>536.1073825503355</v>
      </c>
      <c r="AH23" s="141">
        <f>SUM(AH21:AH22)</f>
        <v>535.43624161073819</v>
      </c>
      <c r="AI23" s="15">
        <f>SUM(AI21:AI22)</f>
        <v>537.71812080536915</v>
      </c>
      <c r="AJ23" s="141">
        <f>SUM(AJ21:AJ22)</f>
        <v>545.77181208053685</v>
      </c>
      <c r="AL23" s="15">
        <f>SUM(AL21:AL22)</f>
        <v>553.28859060402681</v>
      </c>
      <c r="AM23" s="141">
        <f>SUM(AM21:AM22)</f>
        <v>746.04026845637577</v>
      </c>
      <c r="AN23" s="15">
        <f>SUM(AN21:AN22)</f>
        <v>759.32885906040269</v>
      </c>
      <c r="AO23" s="141">
        <f>SUM(AO21:AO22)</f>
        <v>770.06711409395973</v>
      </c>
      <c r="AQ23" s="15">
        <f>SUM(AQ21:AQ22)</f>
        <v>748.85906040268458</v>
      </c>
      <c r="AR23" s="141">
        <f>SUM(AR21:AR22)</f>
        <v>753.02013422818789</v>
      </c>
      <c r="AS23" s="15">
        <f>SUM(AS21:AS22)</f>
        <v>754.09395973154358</v>
      </c>
      <c r="AT23" s="141">
        <f>SUM(AT21:AT22)</f>
        <v>761.61073825503354</v>
      </c>
      <c r="AV23" s="15">
        <f>SUM(AV21:AV22)</f>
        <v>752.48322147651004</v>
      </c>
      <c r="AW23" s="141">
        <f>SUM(AW21:AW22)</f>
        <v>763.89261744966439</v>
      </c>
      <c r="AX23" s="15">
        <f>SUM(AX21:AX22)</f>
        <v>794.49664429530196</v>
      </c>
      <c r="AY23" s="141">
        <f>SUM(AY21:AY22)</f>
        <v>802.01342281879192</v>
      </c>
      <c r="BA23" s="15">
        <f>SUM(BA21:BA22)</f>
        <v>847.91946308724835</v>
      </c>
      <c r="BB23" s="141">
        <f>SUM(BB21:BB22)</f>
        <v>803.489932885906</v>
      </c>
      <c r="BC23" s="15">
        <f>SUM(BC21:BC22)</f>
        <v>799.73154362416108</v>
      </c>
      <c r="BD23" s="141">
        <f>SUM(BD21:BD22)</f>
        <v>809.5</v>
      </c>
      <c r="BF23" s="15">
        <f>SUM(BF21:BF22)</f>
        <v>803.03959731543625</v>
      </c>
      <c r="BG23" s="141">
        <f>SUM(BG21:BG22)</f>
        <v>801.7</v>
      </c>
      <c r="BI23" s="141"/>
    </row>
    <row r="24" spans="1:61">
      <c r="A24" s="15" t="s">
        <v>52</v>
      </c>
      <c r="C24" s="15">
        <f>(8+284+14)/7.45</f>
        <v>41.073825503355707</v>
      </c>
      <c r="D24" s="141">
        <f>(9+283+16)/7.45</f>
        <v>41.34228187919463</v>
      </c>
      <c r="E24" s="15">
        <v>41.208053691275168</v>
      </c>
      <c r="F24" s="141">
        <v>42.281879194630875</v>
      </c>
      <c r="H24" s="152">
        <v>43.624161073825505</v>
      </c>
      <c r="I24" s="141">
        <v>44.161073825503358</v>
      </c>
      <c r="J24" s="15">
        <v>43.221476510067113</v>
      </c>
      <c r="K24" s="141">
        <v>42.550335570469798</v>
      </c>
      <c r="M24" s="15">
        <v>46.442953020134226</v>
      </c>
      <c r="N24" s="141">
        <v>50.469798657718123</v>
      </c>
      <c r="O24" s="15">
        <v>62.147651006711406</v>
      </c>
      <c r="P24" s="141">
        <v>63.624161073825505</v>
      </c>
      <c r="R24" s="15">
        <v>68.322147651006716</v>
      </c>
      <c r="S24" s="141">
        <v>69.127516778523486</v>
      </c>
      <c r="T24" s="15">
        <f>(125+286+98)/7.45</f>
        <v>68.322147651006716</v>
      </c>
      <c r="U24" s="141">
        <f>(91+280+123)/7.45</f>
        <v>66.308724832214764</v>
      </c>
      <c r="W24" s="15">
        <v>66.174496644295303</v>
      </c>
      <c r="X24" s="141">
        <f>(369.9+144.2)/7.45</f>
        <v>69.006711409395962</v>
      </c>
      <c r="Y24" s="15">
        <v>70.872483221476514</v>
      </c>
      <c r="Z24" s="141">
        <v>73.959731543624159</v>
      </c>
      <c r="AB24" s="15">
        <f>(147+286+42)/7.45</f>
        <v>63.758389261744966</v>
      </c>
      <c r="AC24" s="141">
        <v>73.557046979865774</v>
      </c>
      <c r="AD24" s="15">
        <v>76.912751677852341</v>
      </c>
      <c r="AE24" s="141">
        <v>78.255033557046971</v>
      </c>
      <c r="AG24" s="15">
        <v>74.09395973154362</v>
      </c>
      <c r="AH24" s="141">
        <v>68.053691275167779</v>
      </c>
      <c r="AI24" s="15">
        <v>63.221476510067113</v>
      </c>
      <c r="AJ24" s="141">
        <v>81.610738255033553</v>
      </c>
      <c r="AL24" s="15">
        <v>75.570469798657712</v>
      </c>
      <c r="AM24" s="141">
        <v>71.677852348993284</v>
      </c>
      <c r="AN24" s="15">
        <v>73.959731543624159</v>
      </c>
      <c r="AO24" s="141">
        <v>88.724832214765101</v>
      </c>
      <c r="AQ24" s="15">
        <v>91.140939597315437</v>
      </c>
      <c r="AR24" s="141">
        <v>90.335570469798654</v>
      </c>
      <c r="AS24" s="15">
        <f>(251+343+71)/7.45</f>
        <v>89.261744966442947</v>
      </c>
      <c r="AT24" s="141">
        <f>(345.8+342.3+69.5)/7.45</f>
        <v>101.69127516778524</v>
      </c>
      <c r="AV24" s="15">
        <v>93.422818791946312</v>
      </c>
      <c r="AW24" s="141">
        <v>100.93959731543625</v>
      </c>
      <c r="AX24" s="15">
        <f>(379+343+69)/7.45</f>
        <v>106.1744966442953</v>
      </c>
      <c r="AY24" s="141">
        <v>117.18120805369128</v>
      </c>
      <c r="BA24" s="15">
        <v>108.85906040268456</v>
      </c>
      <c r="BB24" s="141">
        <v>117.71812080536913</v>
      </c>
      <c r="BC24" s="15">
        <v>119.32885906040268</v>
      </c>
      <c r="BD24" s="141">
        <v>117.5</v>
      </c>
      <c r="BF24" s="15">
        <v>113</v>
      </c>
      <c r="BG24" s="141">
        <v>112.9</v>
      </c>
      <c r="BI24" s="141"/>
    </row>
    <row r="25" spans="1:61">
      <c r="A25" s="15" t="s">
        <v>120</v>
      </c>
      <c r="C25" s="15">
        <v>102.01342281879194</v>
      </c>
      <c r="D25" s="141">
        <v>97.583892617449663</v>
      </c>
      <c r="E25" s="15">
        <v>136.10738255033556</v>
      </c>
      <c r="F25" s="141">
        <v>131.6778523489933</v>
      </c>
      <c r="H25" s="15">
        <v>131.6778523489933</v>
      </c>
      <c r="I25" s="141">
        <v>131.54362416107384</v>
      </c>
      <c r="J25" s="15">
        <v>131.54362416107384</v>
      </c>
      <c r="K25" s="141">
        <v>198.25503355704697</v>
      </c>
      <c r="M25" s="15">
        <v>229.93288590604027</v>
      </c>
      <c r="N25" s="141">
        <v>231.00671140939596</v>
      </c>
      <c r="O25" s="15">
        <v>230.60402684563758</v>
      </c>
      <c r="P25" s="141">
        <v>180.26845637583892</v>
      </c>
      <c r="R25" s="15">
        <v>189.26174496644296</v>
      </c>
      <c r="S25" s="141">
        <v>196.24161073825502</v>
      </c>
      <c r="T25" s="15">
        <v>192.75167785234899</v>
      </c>
      <c r="U25" s="141">
        <v>176.51006711409394</v>
      </c>
      <c r="W25" s="15">
        <v>165.1006711409396</v>
      </c>
      <c r="X25" s="141">
        <v>255.9731543624161</v>
      </c>
      <c r="Y25" s="15">
        <v>290.73825503355704</v>
      </c>
      <c r="Z25" s="141">
        <v>261.34228187919462</v>
      </c>
      <c r="AB25" s="15">
        <v>315.70469798657717</v>
      </c>
      <c r="AC25" s="141">
        <v>365.36912751677852</v>
      </c>
      <c r="AD25" s="15">
        <v>384.96644295302013</v>
      </c>
      <c r="AE25" s="141">
        <v>463.35570469798654</v>
      </c>
      <c r="AG25" s="15">
        <v>550.06711409395973</v>
      </c>
      <c r="AH25" s="141">
        <v>558.12080536912754</v>
      </c>
      <c r="AI25" s="15">
        <v>492.75167785234896</v>
      </c>
      <c r="AJ25" s="141">
        <v>477.58389261744964</v>
      </c>
      <c r="AL25" s="15">
        <v>520</v>
      </c>
      <c r="AM25" s="141">
        <v>254.36241610738256</v>
      </c>
      <c r="AN25" s="15">
        <v>270.06711409395973</v>
      </c>
      <c r="AO25" s="141">
        <v>73.020134228187914</v>
      </c>
      <c r="AQ25" s="15">
        <v>151.54362416107381</v>
      </c>
      <c r="AR25" s="141">
        <v>230.46979865771812</v>
      </c>
      <c r="AS25" s="15">
        <v>230.46979865771812</v>
      </c>
      <c r="AT25" s="141">
        <v>281.61073825503354</v>
      </c>
      <c r="AV25" s="15">
        <v>279.59731543624162</v>
      </c>
      <c r="AW25" s="141">
        <v>262.14765100671138</v>
      </c>
      <c r="AX25" s="15">
        <v>286.57718120805367</v>
      </c>
      <c r="AY25" s="141">
        <v>177.18120805369128</v>
      </c>
      <c r="BA25" s="15">
        <v>210.06711409395973</v>
      </c>
      <c r="BB25" s="141">
        <v>251.67785234899327</v>
      </c>
      <c r="BC25" s="15">
        <v>202.28187919463087</v>
      </c>
      <c r="BD25" s="141">
        <v>143.9</v>
      </c>
      <c r="BF25" s="15">
        <v>197.9</v>
      </c>
      <c r="BG25" s="141">
        <v>212.5</v>
      </c>
      <c r="BI25" s="141"/>
    </row>
    <row r="26" spans="1:61">
      <c r="A26" s="15" t="s">
        <v>121</v>
      </c>
      <c r="C26" s="15">
        <v>24.697986577181208</v>
      </c>
      <c r="D26" s="141">
        <v>36.107382550335572</v>
      </c>
      <c r="E26" s="15">
        <v>32.348993288590606</v>
      </c>
      <c r="F26" s="141">
        <v>29.261744966442951</v>
      </c>
      <c r="H26" s="15">
        <v>63.624161073825505</v>
      </c>
      <c r="I26" s="141">
        <v>103.89261744966443</v>
      </c>
      <c r="J26" s="15">
        <v>76.77852348993288</v>
      </c>
      <c r="K26" s="141">
        <v>83.758389261744966</v>
      </c>
      <c r="M26" s="15">
        <v>88.724832214765101</v>
      </c>
      <c r="N26" s="141">
        <v>119.32885906040268</v>
      </c>
      <c r="O26" s="15">
        <v>125.7718120805369</v>
      </c>
      <c r="P26" s="141">
        <v>161.74496644295303</v>
      </c>
      <c r="R26" s="15">
        <v>169.93288590604027</v>
      </c>
      <c r="S26" s="141">
        <v>233.69127516778522</v>
      </c>
      <c r="T26" s="15">
        <v>223.35570469798657</v>
      </c>
      <c r="U26" s="141">
        <v>189.93288590604027</v>
      </c>
      <c r="W26" s="15">
        <v>166.84563758389262</v>
      </c>
      <c r="X26" s="141">
        <v>110.87248322147651</v>
      </c>
      <c r="Y26" s="15">
        <v>83.087248322147644</v>
      </c>
      <c r="Z26" s="141">
        <v>124.29530201342281</v>
      </c>
      <c r="AB26" s="15">
        <v>151.81208053691276</v>
      </c>
      <c r="AC26" s="141">
        <v>179.59731543624162</v>
      </c>
      <c r="AD26" s="15">
        <v>200.13422818791946</v>
      </c>
      <c r="AE26" s="141">
        <v>128.45637583892616</v>
      </c>
      <c r="AG26" s="15">
        <v>138.38926174496643</v>
      </c>
      <c r="AH26" s="141">
        <v>145.63758389261744</v>
      </c>
      <c r="AI26" s="15">
        <v>164.69798657718121</v>
      </c>
      <c r="AJ26" s="141">
        <v>161.47651006711408</v>
      </c>
      <c r="AL26" s="15">
        <v>135.30201342281879</v>
      </c>
      <c r="AM26" s="141">
        <v>145.63758389261744</v>
      </c>
      <c r="AN26" s="15">
        <v>145.1006711409396</v>
      </c>
      <c r="AO26" s="141">
        <v>244.69798657718121</v>
      </c>
      <c r="AQ26" s="15">
        <v>281.07382550335569</v>
      </c>
      <c r="AR26" s="141">
        <v>223.08724832214764</v>
      </c>
      <c r="AS26" s="15">
        <v>204.42953020134229</v>
      </c>
      <c r="AT26" s="141">
        <v>64.429530201342274</v>
      </c>
      <c r="AV26" s="15">
        <v>59.865771812080538</v>
      </c>
      <c r="AW26" s="141">
        <v>58.120805369127517</v>
      </c>
      <c r="AX26" s="15">
        <v>48.322147651006709</v>
      </c>
      <c r="AY26" s="141">
        <v>35.973154362416103</v>
      </c>
      <c r="BA26" s="15">
        <v>19.19463087248322</v>
      </c>
      <c r="BB26" s="141">
        <v>15.436241610738255</v>
      </c>
      <c r="BC26" s="15">
        <v>13.020134228187919</v>
      </c>
      <c r="BD26" s="141">
        <v>11.6</v>
      </c>
      <c r="BF26" s="15">
        <v>15.2</v>
      </c>
      <c r="BG26" s="141">
        <v>16.3</v>
      </c>
      <c r="BI26" s="141"/>
    </row>
    <row r="27" spans="1:61" s="142" customFormat="1">
      <c r="A27" s="142" t="s">
        <v>89</v>
      </c>
      <c r="B27" s="143"/>
      <c r="C27" s="142">
        <v>251.27516778523488</v>
      </c>
      <c r="D27" s="144">
        <v>263.75838926174498</v>
      </c>
      <c r="E27" s="142">
        <v>255.57046979865771</v>
      </c>
      <c r="F27" s="144">
        <v>258.79194630872485</v>
      </c>
      <c r="G27" s="143"/>
      <c r="H27" s="142">
        <v>255.30201342281879</v>
      </c>
      <c r="I27" s="144">
        <v>300.13422818791946</v>
      </c>
      <c r="J27" s="142">
        <v>313.95973154362417</v>
      </c>
      <c r="K27" s="144">
        <v>285.36912751677852</v>
      </c>
      <c r="L27" s="143"/>
      <c r="M27" s="142">
        <v>317.18120805369125</v>
      </c>
      <c r="N27" s="144">
        <v>366.44295302013421</v>
      </c>
      <c r="O27" s="142">
        <v>409.93288590604027</v>
      </c>
      <c r="P27" s="144">
        <f>(1126+1668)/7.45</f>
        <v>375.03355704697987</v>
      </c>
      <c r="Q27" s="143"/>
      <c r="R27" s="142">
        <v>415.30201342281879</v>
      </c>
      <c r="S27" s="144">
        <v>418.25503355704694</v>
      </c>
      <c r="T27" s="142">
        <v>410.20134228187919</v>
      </c>
      <c r="U27" s="144">
        <f>(2998+109+139)/7.45</f>
        <v>435.70469798657717</v>
      </c>
      <c r="V27" s="143"/>
      <c r="W27" s="142">
        <v>441.07382550335569</v>
      </c>
      <c r="X27" s="144">
        <f>(117.2+984.1+1998.2)/7.45</f>
        <v>416.04026845637583</v>
      </c>
      <c r="Y27" s="142">
        <v>429.66442953020135</v>
      </c>
      <c r="Z27" s="144">
        <v>397.31543624161071</v>
      </c>
      <c r="AB27" s="142">
        <v>452.48322147651004</v>
      </c>
      <c r="AC27" s="144">
        <v>466.17449664429529</v>
      </c>
      <c r="AD27" s="142">
        <v>459.32885906040269</v>
      </c>
      <c r="AE27" s="144">
        <v>463.35570469798654</v>
      </c>
      <c r="AG27" s="142">
        <v>534.89932885906035</v>
      </c>
      <c r="AH27" s="144">
        <v>508.85906040268458</v>
      </c>
      <c r="AI27" s="142">
        <v>568.05369127516781</v>
      </c>
      <c r="AJ27" s="144">
        <v>537.44966442953023</v>
      </c>
      <c r="AL27" s="142">
        <v>564.29530201342277</v>
      </c>
      <c r="AM27" s="144">
        <v>578.92617449664431</v>
      </c>
      <c r="AN27" s="142">
        <v>524.42953020134223</v>
      </c>
      <c r="AO27" s="144">
        <v>559.86577181208054</v>
      </c>
      <c r="AQ27" s="142">
        <v>561.07382550335569</v>
      </c>
      <c r="AR27" s="144">
        <v>494.36241610738256</v>
      </c>
      <c r="AS27" s="142">
        <v>538.38926174496646</v>
      </c>
      <c r="AT27" s="144">
        <v>534.89932885906035</v>
      </c>
      <c r="AV27" s="142">
        <v>578.12080536912754</v>
      </c>
      <c r="AW27" s="144">
        <v>566.71140939597319</v>
      </c>
      <c r="AX27" s="142">
        <v>567.3825503355705</v>
      </c>
      <c r="AY27" s="144">
        <v>523.75838926174492</v>
      </c>
      <c r="BA27" s="142">
        <v>665.36912751677846</v>
      </c>
      <c r="BB27" s="144">
        <v>672.34899328859058</v>
      </c>
      <c r="BC27" s="142">
        <v>601.47651006711408</v>
      </c>
      <c r="BD27" s="144">
        <v>601.1</v>
      </c>
      <c r="BF27" s="142">
        <v>607.29999999999995</v>
      </c>
      <c r="BG27" s="144">
        <v>643.79999999999995</v>
      </c>
      <c r="BI27" s="144"/>
    </row>
    <row r="28" spans="1:61" s="145" customFormat="1">
      <c r="A28" s="145" t="s">
        <v>90</v>
      </c>
      <c r="B28" s="146"/>
      <c r="C28" s="145">
        <f>SUM(C23:C27)</f>
        <v>794.89932885906035</v>
      </c>
      <c r="D28" s="147">
        <f>SUM(D23:D27)</f>
        <v>809.530201342282</v>
      </c>
      <c r="E28" s="145">
        <f>SUM(E23:E27)</f>
        <v>819.06040268456377</v>
      </c>
      <c r="F28" s="147">
        <f>SUM(F23:F27)</f>
        <v>829.1275167785235</v>
      </c>
      <c r="G28" s="146"/>
      <c r="H28" s="145">
        <f>SUM(H23:H27)</f>
        <v>866.71140939597308</v>
      </c>
      <c r="I28" s="147">
        <f>SUM(I23:I27)</f>
        <v>928.32214765100673</v>
      </c>
      <c r="J28" s="145">
        <f>SUM(J23:J27)</f>
        <v>924.83221476510062</v>
      </c>
      <c r="K28" s="147">
        <f>SUM(K23:K27)</f>
        <v>986.57718120805362</v>
      </c>
      <c r="L28" s="146"/>
      <c r="M28" s="145">
        <f>SUM(M23:M27)</f>
        <v>1072.4832214765099</v>
      </c>
      <c r="N28" s="147">
        <f>SUM(N23:N27)</f>
        <v>1152.7516778523488</v>
      </c>
      <c r="O28" s="145">
        <f>SUM(O23:O27)</f>
        <v>1229.6644295302012</v>
      </c>
      <c r="P28" s="147">
        <f>SUM(P23:P27)</f>
        <v>1221.3422818791946</v>
      </c>
      <c r="Q28" s="146"/>
      <c r="R28" s="145">
        <f>SUM(R23:R27)</f>
        <v>1295.9731543624162</v>
      </c>
      <c r="S28" s="147">
        <f>SUM(S23:S27)</f>
        <v>1373.2885906040267</v>
      </c>
      <c r="T28" s="145">
        <f>SUM(T23:T27)</f>
        <v>1383.7583892617449</v>
      </c>
      <c r="U28" s="147">
        <f>SUM(U23:U27)</f>
        <v>1333.5570469798656</v>
      </c>
      <c r="V28" s="146"/>
      <c r="W28" s="145">
        <f>SUM(W23:W27)</f>
        <v>1306.7114093959731</v>
      </c>
      <c r="X28" s="147">
        <f>SUM(X23:X27)</f>
        <v>1327.3691275167787</v>
      </c>
      <c r="Y28" s="145">
        <f>SUM(Y23:Y27)</f>
        <v>1354.7651006711408</v>
      </c>
      <c r="Z28" s="147">
        <f>SUM(Z23:Z27)</f>
        <v>1358.9261744966443</v>
      </c>
      <c r="AB28" s="145">
        <f>SUM(AB23:AB27)</f>
        <v>1498.1208053691275</v>
      </c>
      <c r="AC28" s="147">
        <f>SUM(AC23:AC27)</f>
        <v>1628.724832214765</v>
      </c>
      <c r="AD28" s="145">
        <f>SUM(AD23:AD27)</f>
        <v>1658.1208053691275</v>
      </c>
      <c r="AE28" s="147">
        <f>SUM(AE23:AE27)</f>
        <v>1685.3691275167785</v>
      </c>
      <c r="AG28" s="145">
        <f>SUM(AG23:AG27)</f>
        <v>1833.5570469798658</v>
      </c>
      <c r="AH28" s="147">
        <f>SUM(AH23:AH27)</f>
        <v>1816.1073825503354</v>
      </c>
      <c r="AI28" s="145">
        <f>SUM(AI23:AI27)</f>
        <v>1826.4429530201342</v>
      </c>
      <c r="AJ28" s="147">
        <f>SUM(AJ23:AJ27)</f>
        <v>1803.8926174496644</v>
      </c>
      <c r="AL28" s="145">
        <f>SUM(AL23:AL27)</f>
        <v>1848.4563758389261</v>
      </c>
      <c r="AM28" s="147">
        <f>SUM(AM23:AM27)</f>
        <v>1796.6442953020132</v>
      </c>
      <c r="AN28" s="145">
        <f>SUM(AN23:AN27)</f>
        <v>1772.8859060402683</v>
      </c>
      <c r="AO28" s="147">
        <f>SUM(AO23:AO27)</f>
        <v>1736.3758389261745</v>
      </c>
      <c r="AQ28" s="145">
        <f>SUM(AQ23:AQ27)</f>
        <v>1833.6912751677851</v>
      </c>
      <c r="AR28" s="147">
        <f>SUM(AR23:AR27)</f>
        <v>1791.275167785235</v>
      </c>
      <c r="AS28" s="145">
        <f>SUM(AS23:AS27)</f>
        <v>1816.6442953020135</v>
      </c>
      <c r="AT28" s="147">
        <f>SUM(AT23:AT27)</f>
        <v>1744.2416107382546</v>
      </c>
      <c r="AV28" s="145">
        <f>SUM(AV23:AV27)</f>
        <v>1763.489932885906</v>
      </c>
      <c r="AW28" s="147">
        <f>SUM(AW23:AW27)</f>
        <v>1751.8120805369126</v>
      </c>
      <c r="AX28" s="145">
        <f>SUM(AX23:AX27)</f>
        <v>1802.9530201342282</v>
      </c>
      <c r="AY28" s="147">
        <f>SUM(AY23:AY27)</f>
        <v>1656.1073825503356</v>
      </c>
      <c r="BA28" s="145">
        <f>SUM(BA23:BA27)</f>
        <v>1851.4093959731545</v>
      </c>
      <c r="BB28" s="147">
        <f>SUM(BB23:BB27)</f>
        <v>1860.6711409395971</v>
      </c>
      <c r="BC28" s="145">
        <f>SUM(BC23:BC27)</f>
        <v>1735.8389261744967</v>
      </c>
      <c r="BD28" s="147">
        <f>SUM(BD23:BD27)</f>
        <v>1683.6</v>
      </c>
      <c r="BF28" s="145">
        <f>SUM(BF23:BF27)</f>
        <v>1736.4395973154362</v>
      </c>
      <c r="BG28" s="147">
        <f>SUM(BG23:BG27)</f>
        <v>1787.1999999999998</v>
      </c>
      <c r="BI28" s="147"/>
    </row>
    <row r="29" spans="1:61">
      <c r="C29" s="153"/>
      <c r="D29" s="154"/>
      <c r="E29" s="153"/>
      <c r="F29" s="154"/>
      <c r="H29" s="153"/>
      <c r="I29" s="154"/>
      <c r="J29" s="153"/>
      <c r="K29" s="154"/>
      <c r="M29" s="153"/>
      <c r="N29" s="154"/>
      <c r="O29" s="153"/>
      <c r="P29" s="154"/>
      <c r="R29" s="153"/>
      <c r="S29" s="154"/>
      <c r="T29" s="153"/>
      <c r="U29" s="154"/>
      <c r="W29" s="153"/>
      <c r="X29" s="154"/>
      <c r="Y29" s="153"/>
      <c r="Z29" s="154"/>
      <c r="AB29" s="153"/>
      <c r="AC29" s="154"/>
      <c r="AD29" s="153"/>
      <c r="AE29" s="154"/>
      <c r="AG29" s="153"/>
      <c r="AH29" s="154"/>
      <c r="AI29" s="153"/>
      <c r="AJ29" s="154"/>
      <c r="AL29" s="153"/>
      <c r="AM29" s="154"/>
      <c r="AN29" s="153"/>
      <c r="AO29" s="154"/>
      <c r="AQ29" s="153"/>
      <c r="AR29" s="154"/>
      <c r="AS29" s="153"/>
      <c r="AT29" s="154"/>
      <c r="AV29" s="153"/>
      <c r="AW29" s="154"/>
      <c r="AX29" s="153"/>
      <c r="AY29" s="154"/>
      <c r="BA29" s="153"/>
      <c r="BB29" s="154"/>
      <c r="BC29" s="153"/>
      <c r="BD29" s="154"/>
      <c r="BF29" s="153"/>
      <c r="BG29" s="154"/>
      <c r="BH29" s="153"/>
      <c r="BI29" s="154"/>
    </row>
    <row r="30" spans="1:61">
      <c r="A30" s="155"/>
      <c r="B30" s="136"/>
      <c r="C30" s="156"/>
      <c r="D30" s="157"/>
      <c r="E30" s="156"/>
      <c r="F30" s="157"/>
      <c r="G30" s="136"/>
      <c r="H30" s="156"/>
      <c r="I30" s="157"/>
      <c r="J30" s="156"/>
      <c r="K30" s="157"/>
      <c r="L30" s="136"/>
      <c r="M30" s="158"/>
      <c r="N30" s="159"/>
      <c r="O30" s="158"/>
      <c r="P30" s="159"/>
      <c r="Q30" s="136"/>
      <c r="R30" s="136"/>
      <c r="S30" s="160"/>
      <c r="T30" s="136"/>
      <c r="U30" s="160"/>
      <c r="V30" s="136"/>
      <c r="W30" s="158"/>
      <c r="X30" s="159"/>
      <c r="Y30" s="158"/>
      <c r="Z30" s="159"/>
      <c r="AB30" s="158"/>
      <c r="AC30" s="159"/>
      <c r="AD30" s="158"/>
      <c r="AE30" s="159"/>
      <c r="AG30" s="158"/>
      <c r="AH30" s="159"/>
      <c r="AI30" s="158"/>
      <c r="AJ30" s="159"/>
      <c r="AL30" s="158"/>
      <c r="AM30" s="159"/>
      <c r="AN30" s="158"/>
      <c r="AO30" s="159"/>
      <c r="AQ30" s="158"/>
      <c r="AR30" s="159"/>
      <c r="AS30" s="158"/>
      <c r="AT30" s="159"/>
      <c r="AV30" s="158"/>
      <c r="AW30" s="159"/>
      <c r="AX30" s="158"/>
      <c r="AY30" s="159"/>
      <c r="BA30" s="158"/>
      <c r="BB30" s="159"/>
      <c r="BC30" s="158"/>
      <c r="BD30" s="159"/>
      <c r="BF30" s="158"/>
      <c r="BG30" s="159"/>
      <c r="BH30" s="158"/>
      <c r="BI30" s="159"/>
    </row>
    <row r="31" spans="1:61" s="165" customFormat="1">
      <c r="A31" s="161" t="s">
        <v>91</v>
      </c>
      <c r="B31" s="162"/>
      <c r="C31" s="163"/>
      <c r="D31" s="164"/>
      <c r="E31" s="163"/>
      <c r="F31" s="164"/>
      <c r="G31" s="162"/>
      <c r="H31" s="163"/>
      <c r="I31" s="164"/>
      <c r="J31" s="163"/>
      <c r="K31" s="164"/>
      <c r="L31" s="162"/>
      <c r="M31" s="163"/>
      <c r="N31" s="164"/>
      <c r="O31" s="163"/>
      <c r="P31" s="164"/>
      <c r="Q31" s="162"/>
      <c r="R31" s="163"/>
      <c r="S31" s="164"/>
      <c r="T31" s="163"/>
      <c r="U31" s="164"/>
      <c r="V31" s="162"/>
      <c r="W31" s="163"/>
      <c r="X31" s="164"/>
      <c r="Y31" s="163"/>
      <c r="Z31" s="164"/>
      <c r="AB31" s="163"/>
      <c r="AC31" s="164"/>
      <c r="AD31" s="163"/>
      <c r="AE31" s="164"/>
      <c r="AG31" s="163"/>
      <c r="AH31" s="164"/>
      <c r="AI31" s="163"/>
      <c r="AJ31" s="164"/>
      <c r="AL31" s="163"/>
      <c r="AM31" s="164"/>
      <c r="AN31" s="163"/>
      <c r="AO31" s="164"/>
      <c r="AQ31" s="163"/>
      <c r="AR31" s="164"/>
      <c r="AS31" s="163"/>
      <c r="AT31" s="164"/>
      <c r="AV31" s="163"/>
      <c r="AW31" s="164"/>
      <c r="AX31" s="163"/>
      <c r="AY31" s="164"/>
      <c r="BA31" s="163"/>
      <c r="BB31" s="164"/>
      <c r="BC31" s="163"/>
      <c r="BD31" s="164"/>
      <c r="BF31" s="163"/>
      <c r="BG31" s="164"/>
      <c r="BH31" s="163"/>
      <c r="BI31" s="164"/>
    </row>
    <row r="32" spans="1:61">
      <c r="D32" s="141"/>
      <c r="F32" s="141"/>
      <c r="I32" s="141"/>
      <c r="K32" s="141"/>
      <c r="N32" s="141"/>
      <c r="P32" s="141"/>
      <c r="S32" s="141"/>
      <c r="U32" s="141"/>
      <c r="X32" s="141"/>
      <c r="Z32" s="141"/>
      <c r="AC32" s="141"/>
      <c r="AE32" s="141"/>
      <c r="AH32" s="141"/>
      <c r="AJ32" s="141"/>
      <c r="AM32" s="141"/>
      <c r="AO32" s="141"/>
      <c r="AR32" s="141"/>
      <c r="AT32" s="141"/>
      <c r="AW32" s="141"/>
      <c r="AY32" s="141"/>
      <c r="BB32" s="141"/>
      <c r="BD32" s="141"/>
      <c r="BG32" s="141"/>
      <c r="BI32" s="141"/>
    </row>
    <row r="33" spans="1:61 16384:16384">
      <c r="A33" s="15" t="s">
        <v>49</v>
      </c>
      <c r="C33" s="15">
        <v>369.1275167785235</v>
      </c>
      <c r="D33" s="141">
        <f>+C41</f>
        <v>375.83892617449663</v>
      </c>
      <c r="E33" s="15">
        <f>+D41</f>
        <v>370.73825503355704</v>
      </c>
      <c r="F33" s="141">
        <f>+E41</f>
        <v>353.82550335570471</v>
      </c>
      <c r="H33" s="15">
        <f>F41</f>
        <v>367.11409395973152</v>
      </c>
      <c r="I33" s="141">
        <f>H41</f>
        <v>372.48322147651004</v>
      </c>
      <c r="J33" s="15">
        <f>I41</f>
        <v>348.5906040268456</v>
      </c>
      <c r="K33" s="141">
        <f>J41</f>
        <v>359.32885906040264</v>
      </c>
      <c r="M33" s="15">
        <f>K41</f>
        <v>376.6442953020134</v>
      </c>
      <c r="N33" s="141">
        <f>+M41</f>
        <v>390.20134228187914</v>
      </c>
      <c r="O33" s="15">
        <f>+N41</f>
        <v>385.50335570469792</v>
      </c>
      <c r="P33" s="141">
        <f>+O41</f>
        <v>401.2080536912751</v>
      </c>
      <c r="R33" s="15">
        <f>+P41</f>
        <v>440.67114093959725</v>
      </c>
      <c r="S33" s="141">
        <f>+R41</f>
        <v>453.15436241610735</v>
      </c>
      <c r="T33" s="15">
        <f>+S41</f>
        <v>455.97315436241604</v>
      </c>
      <c r="U33" s="141">
        <f>+T41</f>
        <v>489.12751677852344</v>
      </c>
      <c r="W33" s="15">
        <f>+U41</f>
        <v>465.06040268456371</v>
      </c>
      <c r="X33" s="141">
        <f>+W41</f>
        <v>467.47651006711402</v>
      </c>
      <c r="Y33" s="15">
        <f>+X41</f>
        <v>475.39597315436237</v>
      </c>
      <c r="Z33" s="141">
        <f>+Y41</f>
        <v>480.3624161073825</v>
      </c>
      <c r="AB33" s="15">
        <f>+Z41</f>
        <v>501.97315436241604</v>
      </c>
      <c r="AC33" s="141">
        <f>+AB41</f>
        <v>514.32214765100662</v>
      </c>
      <c r="AD33" s="15">
        <f>+AC41</f>
        <v>543.98657718120796</v>
      </c>
      <c r="AE33" s="141">
        <f>+AD41</f>
        <v>536.73825503355692</v>
      </c>
      <c r="AG33" s="15">
        <f>+AE41</f>
        <v>551.9060402684562</v>
      </c>
      <c r="AH33" s="141">
        <f>+AG41</f>
        <v>536.0671140939595</v>
      </c>
      <c r="AI33" s="15">
        <f>+AH41</f>
        <v>535.3959731543622</v>
      </c>
      <c r="AJ33" s="141">
        <f>+AI41</f>
        <v>537.67785234899316</v>
      </c>
      <c r="AL33" s="15">
        <f>+AJ41</f>
        <v>545.73154362416096</v>
      </c>
      <c r="AM33" s="141">
        <f>+AL41</f>
        <v>553.24832214765081</v>
      </c>
      <c r="AN33" s="15">
        <f>+AM41</f>
        <v>745.99999999999977</v>
      </c>
      <c r="AO33" s="141">
        <f>+AN41</f>
        <v>759.28859060402669</v>
      </c>
      <c r="AQ33" s="16">
        <f>+AO41</f>
        <v>770.02684563758373</v>
      </c>
      <c r="AR33" s="141">
        <f>+AQ41</f>
        <v>748.81879194630847</v>
      </c>
      <c r="AS33" s="15">
        <f>+AR41</f>
        <v>752.97986577181177</v>
      </c>
      <c r="AT33" s="141">
        <f>+AS41</f>
        <v>754.05369127516747</v>
      </c>
      <c r="AV33" s="16">
        <f>+AT41</f>
        <v>761.57046979865731</v>
      </c>
      <c r="AW33" s="141">
        <f>+AV41</f>
        <v>752.44295302013381</v>
      </c>
      <c r="AX33" s="15">
        <f>+AW41</f>
        <v>763.85234899328816</v>
      </c>
      <c r="AY33" s="141">
        <f>+AX41</f>
        <v>794.45637583892574</v>
      </c>
      <c r="BA33" s="16">
        <f>+AY41</f>
        <v>801.9731543624157</v>
      </c>
      <c r="BB33" s="141">
        <f>+BA41</f>
        <v>847.87919463087201</v>
      </c>
      <c r="BC33" s="15">
        <f>+BB41</f>
        <v>803.44966442952966</v>
      </c>
      <c r="BD33" s="141">
        <f>+BC41</f>
        <v>799.69127516778474</v>
      </c>
      <c r="BF33" s="16">
        <f>+BD41</f>
        <v>809.45127516778484</v>
      </c>
      <c r="BG33" s="141">
        <f>+BF41</f>
        <v>802.95227516778493</v>
      </c>
      <c r="BI33" s="141"/>
    </row>
    <row r="34" spans="1:61 16384:16384" s="142" customFormat="1">
      <c r="A34" s="142" t="s">
        <v>26</v>
      </c>
      <c r="B34" s="143"/>
      <c r="D34" s="144">
        <v>0</v>
      </c>
      <c r="E34" s="142">
        <v>0</v>
      </c>
      <c r="F34" s="144">
        <v>0</v>
      </c>
      <c r="G34" s="143"/>
      <c r="H34" s="142">
        <v>0</v>
      </c>
      <c r="I34" s="144">
        <v>0</v>
      </c>
      <c r="J34" s="142">
        <v>0</v>
      </c>
      <c r="K34" s="144">
        <v>0</v>
      </c>
      <c r="L34" s="143"/>
      <c r="M34" s="142">
        <v>0</v>
      </c>
      <c r="N34" s="144">
        <v>0</v>
      </c>
      <c r="O34" s="142">
        <v>0</v>
      </c>
      <c r="P34" s="144">
        <v>0</v>
      </c>
      <c r="Q34" s="143"/>
      <c r="R34" s="142">
        <v>0</v>
      </c>
      <c r="S34" s="144">
        <v>0</v>
      </c>
      <c r="T34" s="142">
        <v>0</v>
      </c>
      <c r="U34" s="144">
        <v>0</v>
      </c>
      <c r="V34" s="143"/>
      <c r="W34" s="142">
        <v>0</v>
      </c>
      <c r="X34" s="144">
        <v>0</v>
      </c>
      <c r="Y34" s="142">
        <v>0</v>
      </c>
      <c r="Z34" s="144">
        <v>0</v>
      </c>
      <c r="AB34" s="142">
        <v>0</v>
      </c>
      <c r="AC34" s="144">
        <v>0</v>
      </c>
      <c r="AD34" s="142">
        <v>0</v>
      </c>
      <c r="AE34" s="144">
        <v>0</v>
      </c>
      <c r="AG34" s="142">
        <v>0</v>
      </c>
      <c r="AH34" s="144">
        <v>0</v>
      </c>
      <c r="AI34" s="142">
        <v>0</v>
      </c>
      <c r="AJ34" s="144">
        <v>0</v>
      </c>
      <c r="AL34" s="142">
        <v>0</v>
      </c>
      <c r="AM34" s="144">
        <v>0</v>
      </c>
      <c r="AN34" s="142">
        <v>0</v>
      </c>
      <c r="AO34" s="144">
        <v>0</v>
      </c>
      <c r="AQ34" s="166">
        <v>0</v>
      </c>
      <c r="AR34" s="144">
        <v>0</v>
      </c>
      <c r="AS34" s="142">
        <v>0</v>
      </c>
      <c r="AT34" s="144">
        <v>0</v>
      </c>
      <c r="AV34" s="166">
        <v>0</v>
      </c>
      <c r="AW34" s="144">
        <v>0</v>
      </c>
      <c r="AX34" s="142">
        <v>0</v>
      </c>
      <c r="AY34" s="144">
        <v>0</v>
      </c>
      <c r="BA34" s="166">
        <v>0</v>
      </c>
      <c r="BB34" s="144">
        <v>0</v>
      </c>
      <c r="BC34" s="142">
        <v>0</v>
      </c>
      <c r="BD34" s="144">
        <v>0</v>
      </c>
      <c r="BF34" s="166">
        <v>0</v>
      </c>
      <c r="BG34" s="144">
        <v>0</v>
      </c>
      <c r="BI34" s="144"/>
    </row>
    <row r="35" spans="1:61 16384:16384">
      <c r="A35" s="15" t="s">
        <v>175</v>
      </c>
      <c r="C35" s="15">
        <f>SUM(C33:C34)</f>
        <v>369.1275167785235</v>
      </c>
      <c r="D35" s="141">
        <f>SUM(D33:D34)</f>
        <v>375.83892617449663</v>
      </c>
      <c r="E35" s="15">
        <f>SUM(E33:E34)</f>
        <v>370.73825503355704</v>
      </c>
      <c r="F35" s="141">
        <f>SUM(F33:F34)</f>
        <v>353.82550335570471</v>
      </c>
      <c r="H35" s="15">
        <f>SUM(H33:H34)</f>
        <v>367.11409395973152</v>
      </c>
      <c r="I35" s="141">
        <f>SUM(I33:I34)</f>
        <v>372.48322147651004</v>
      </c>
      <c r="J35" s="15">
        <f>SUM(J33:J34)</f>
        <v>348.5906040268456</v>
      </c>
      <c r="K35" s="141">
        <f>SUM(K33:K34)</f>
        <v>359.32885906040264</v>
      </c>
      <c r="M35" s="15">
        <f>SUM(M33:M34)</f>
        <v>376.6442953020134</v>
      </c>
      <c r="N35" s="141">
        <f>SUM(N33:N34)</f>
        <v>390.20134228187914</v>
      </c>
      <c r="O35" s="15">
        <f>SUM(O33:O34)</f>
        <v>385.50335570469792</v>
      </c>
      <c r="P35" s="141">
        <f>SUM(P33:P34)</f>
        <v>401.2080536912751</v>
      </c>
      <c r="R35" s="15">
        <f>SUM(R33:R34)</f>
        <v>440.67114093959725</v>
      </c>
      <c r="S35" s="141">
        <f>SUM(S33:S34)</f>
        <v>453.15436241610735</v>
      </c>
      <c r="T35" s="15">
        <f>SUM(T33:T34)</f>
        <v>455.97315436241604</v>
      </c>
      <c r="U35" s="141">
        <f>SUM(U33:U34)</f>
        <v>489.12751677852344</v>
      </c>
      <c r="W35" s="15">
        <f>SUM(W33:W34)</f>
        <v>465.06040268456371</v>
      </c>
      <c r="X35" s="141">
        <f>SUM(X33:X34)</f>
        <v>467.47651006711402</v>
      </c>
      <c r="Y35" s="15">
        <f>SUM(Y33:Y34)</f>
        <v>475.39597315436237</v>
      </c>
      <c r="Z35" s="141">
        <f>SUM(Z33:Z34)</f>
        <v>480.3624161073825</v>
      </c>
      <c r="AB35" s="15">
        <f>SUM(AB33:AB34)</f>
        <v>501.97315436241604</v>
      </c>
      <c r="AC35" s="141">
        <f>SUM(AC33:AC34)</f>
        <v>514.32214765100662</v>
      </c>
      <c r="AD35" s="15">
        <f>SUM(AD33:AD34)</f>
        <v>543.98657718120796</v>
      </c>
      <c r="AE35" s="141">
        <f>SUM(AE33:AE34)</f>
        <v>536.73825503355692</v>
      </c>
      <c r="AG35" s="15">
        <f>SUM(AG33:AG34)</f>
        <v>551.9060402684562</v>
      </c>
      <c r="AH35" s="141">
        <f>SUM(AH33:AH34)</f>
        <v>536.0671140939595</v>
      </c>
      <c r="AI35" s="15">
        <f>SUM(AI33:AI34)</f>
        <v>535.3959731543622</v>
      </c>
      <c r="AJ35" s="141">
        <f>SUM(AJ33:AJ34)</f>
        <v>537.67785234899316</v>
      </c>
      <c r="AL35" s="15">
        <f>SUM(AL33:AL34)</f>
        <v>545.73154362416096</v>
      </c>
      <c r="AM35" s="141">
        <f>SUM(AM33:AM34)</f>
        <v>553.24832214765081</v>
      </c>
      <c r="AN35" s="15">
        <f>SUM(AN33:AN34)</f>
        <v>745.99999999999977</v>
      </c>
      <c r="AO35" s="141">
        <f>SUM(AO33:AO34)</f>
        <v>759.28859060402669</v>
      </c>
      <c r="AQ35" s="16">
        <f>SUM(AQ33:AQ34)</f>
        <v>770.02684563758373</v>
      </c>
      <c r="AR35" s="141">
        <f>SUM(AR33:AR34)</f>
        <v>748.81879194630847</v>
      </c>
      <c r="AS35" s="16">
        <f>SUM(AS33:AS34)</f>
        <v>752.97986577181177</v>
      </c>
      <c r="AT35" s="141">
        <f>SUM(AT33:AT34)</f>
        <v>754.05369127516747</v>
      </c>
      <c r="AV35" s="16">
        <f>SUM(AV33:AV34)</f>
        <v>761.57046979865731</v>
      </c>
      <c r="AW35" s="141">
        <f>SUM(AW33:AW34)</f>
        <v>752.44295302013381</v>
      </c>
      <c r="AX35" s="16">
        <f>SUM(AX33:AX34)</f>
        <v>763.85234899328816</v>
      </c>
      <c r="AY35" s="141">
        <f>SUM(AY33:AY34)</f>
        <v>794.45637583892574</v>
      </c>
      <c r="BA35" s="16">
        <f>SUM(BA33:BA34)</f>
        <v>801.9731543624157</v>
      </c>
      <c r="BB35" s="141">
        <f>+BB34+BB33</f>
        <v>847.87919463087201</v>
      </c>
      <c r="BC35" s="16">
        <f>SUM(BC33:BC34)</f>
        <v>803.44966442952966</v>
      </c>
      <c r="BD35" s="141">
        <f>SUM(BD33:BD34)</f>
        <v>799.69127516778474</v>
      </c>
      <c r="BF35" s="16">
        <f>SUM(BF33:BF34)</f>
        <v>809.45127516778484</v>
      </c>
      <c r="BG35" s="141">
        <f>SUM(BG33:BG34)</f>
        <v>802.95227516778493</v>
      </c>
      <c r="BH35" s="16"/>
      <c r="BI35" s="141"/>
    </row>
    <row r="36" spans="1:61 16384:16384">
      <c r="A36" s="15" t="s">
        <v>92</v>
      </c>
      <c r="C36" s="15">
        <v>7.1140939597315436</v>
      </c>
      <c r="D36" s="141">
        <v>14.093959731543624</v>
      </c>
      <c r="E36" s="15">
        <v>15.70469798657718</v>
      </c>
      <c r="F36" s="141">
        <v>11.543624161073826</v>
      </c>
      <c r="H36" s="15">
        <v>11.409395973154362</v>
      </c>
      <c r="I36" s="141">
        <v>30.604026845637584</v>
      </c>
      <c r="J36" s="15">
        <v>19.597315436241612</v>
      </c>
      <c r="K36" s="141">
        <v>19.328859060402685</v>
      </c>
      <c r="M36" s="15">
        <v>16.107382550335569</v>
      </c>
      <c r="N36" s="141">
        <v>30.067114093959731</v>
      </c>
      <c r="O36" s="15">
        <v>22.416107382550337</v>
      </c>
      <c r="P36" s="141">
        <v>41.476510067114091</v>
      </c>
      <c r="R36" s="15">
        <v>18.523489932885905</v>
      </c>
      <c r="S36" s="141">
        <v>31.140939597315434</v>
      </c>
      <c r="T36" s="15">
        <v>18.65771812080537</v>
      </c>
      <c r="U36" s="141">
        <v>-14.093959731543624</v>
      </c>
      <c r="W36" s="15">
        <v>0</v>
      </c>
      <c r="X36" s="141">
        <v>12.617449664429531</v>
      </c>
      <c r="Y36" s="15">
        <v>9.5302013422818792</v>
      </c>
      <c r="Z36" s="141">
        <v>9.7986577181208059</v>
      </c>
      <c r="AB36" s="15">
        <v>8.724832214765101</v>
      </c>
      <c r="AC36" s="141">
        <v>13.020134228187919</v>
      </c>
      <c r="AD36" s="15">
        <v>10.738255033557047</v>
      </c>
      <c r="AE36" s="141">
        <v>3.7583892617449663</v>
      </c>
      <c r="AG36" s="15">
        <f>(+' Financial Highlights'!AM19)</f>
        <v>6.8456375838926187</v>
      </c>
      <c r="AH36" s="141">
        <f>(+' Financial Highlights'!AN19)</f>
        <v>4.0268456375838939</v>
      </c>
      <c r="AI36" s="15">
        <f>(+' Financial Highlights'!AO19)</f>
        <v>5.7718120805369111</v>
      </c>
      <c r="AJ36" s="141">
        <f>(+' Financial Highlights'!AP19)</f>
        <v>0.40268456375839023</v>
      </c>
      <c r="AL36" s="15">
        <v>4.1610738255033555</v>
      </c>
      <c r="AM36" s="141">
        <f>+' Financial Highlights'!AT19</f>
        <v>193.15436241610735</v>
      </c>
      <c r="AN36" s="15">
        <f>+' Financial Highlights'!AU19</f>
        <v>4.9664429530201355</v>
      </c>
      <c r="AO36" s="141">
        <f>+' Financial Highlights'!AV19</f>
        <v>13.288590604026844</v>
      </c>
      <c r="AQ36" s="16">
        <v>3.3557046979865772</v>
      </c>
      <c r="AR36" s="141">
        <v>10.201342281879194</v>
      </c>
      <c r="AS36" s="15">
        <v>7.1140939597315436</v>
      </c>
      <c r="AT36" s="141">
        <v>13.288590604026846</v>
      </c>
      <c r="AV36" s="16">
        <f>+' Financial Highlights'!BE19</f>
        <v>11.677852348993287</v>
      </c>
      <c r="AW36" s="141">
        <f>+' Financial Highlights'!BF19</f>
        <v>6.308724832214768</v>
      </c>
      <c r="AX36" s="16">
        <f>+' Financial Highlights'!BG19</f>
        <v>8.0536912751677843</v>
      </c>
      <c r="AY36" s="141">
        <f>+' Financial Highlights'!BH19</f>
        <v>11.543624161073826</v>
      </c>
      <c r="BA36" s="16">
        <f>+' Financial Highlights'!BK19</f>
        <v>12.214765100671148</v>
      </c>
      <c r="BB36" s="141">
        <f>+' Financial Highlights'!BL19</f>
        <v>-27.651006711409394</v>
      </c>
      <c r="BC36" s="16">
        <f>+' Financial Highlights'!BM19</f>
        <v>9.664429530201339</v>
      </c>
      <c r="BD36" s="141">
        <f>+' Financial Highlights'!BN19</f>
        <v>6.9599999999999955</v>
      </c>
      <c r="BF36" s="16">
        <f>+' Financial Highlights'!BQ19</f>
        <v>10.600999999999997</v>
      </c>
      <c r="BG36" s="141">
        <f>+' Financial Highlights'!BR19</f>
        <v>20.2</v>
      </c>
      <c r="BH36" s="16"/>
      <c r="BI36" s="141"/>
    </row>
    <row r="37" spans="1:61 16384:16384">
      <c r="A37" s="15" t="s">
        <v>133</v>
      </c>
      <c r="C37" s="15">
        <v>0</v>
      </c>
      <c r="D37" s="141">
        <v>0</v>
      </c>
      <c r="E37" s="15">
        <v>0</v>
      </c>
      <c r="F37" s="141">
        <v>0</v>
      </c>
      <c r="I37" s="141"/>
      <c r="K37" s="141"/>
      <c r="N37" s="141"/>
      <c r="P37" s="141"/>
      <c r="S37" s="141"/>
      <c r="U37" s="141"/>
      <c r="X37" s="141"/>
      <c r="Z37" s="141"/>
      <c r="AC37" s="141"/>
      <c r="AE37" s="141"/>
      <c r="AH37" s="141"/>
      <c r="AJ37" s="141"/>
      <c r="AM37" s="141"/>
      <c r="AO37" s="141"/>
      <c r="AQ37" s="16">
        <v>-3.7583892617449663</v>
      </c>
      <c r="AR37" s="141">
        <v>0</v>
      </c>
      <c r="AS37" s="15">
        <v>0</v>
      </c>
      <c r="AT37" s="141">
        <v>-0.26845637583892618</v>
      </c>
      <c r="AV37" s="16">
        <v>0</v>
      </c>
      <c r="AW37" s="141">
        <v>0</v>
      </c>
      <c r="AX37" s="15">
        <v>0</v>
      </c>
      <c r="AY37" s="141">
        <v>-9.1275167785234892</v>
      </c>
      <c r="BA37" s="16">
        <v>0</v>
      </c>
      <c r="BB37" s="141">
        <v>0</v>
      </c>
      <c r="BC37" s="15">
        <v>0</v>
      </c>
      <c r="BD37" s="141">
        <v>1.7</v>
      </c>
      <c r="BF37" s="16">
        <v>0</v>
      </c>
      <c r="BG37" s="141">
        <v>0</v>
      </c>
      <c r="BI37" s="141"/>
    </row>
    <row r="38" spans="1:61 16384:16384">
      <c r="A38" s="15" t="s">
        <v>93</v>
      </c>
      <c r="C38" s="15">
        <v>1.2080536912751678</v>
      </c>
      <c r="D38" s="141">
        <v>7.1140939597315436</v>
      </c>
      <c r="E38" s="15">
        <v>4.4295302013422821</v>
      </c>
      <c r="F38" s="141">
        <v>1.7449664429530201</v>
      </c>
      <c r="H38" s="15">
        <v>2.5503355704697985</v>
      </c>
      <c r="I38" s="141">
        <v>-16.778523489932887</v>
      </c>
      <c r="J38" s="15">
        <v>-8.8590604026845643</v>
      </c>
      <c r="K38" s="141">
        <v>-2.0134228187919461</v>
      </c>
      <c r="M38" s="15">
        <v>-3.4899328859060401</v>
      </c>
      <c r="N38" s="141">
        <v>-4.4295302013422821</v>
      </c>
      <c r="O38" s="15">
        <v>-6.7114093959731544</v>
      </c>
      <c r="P38" s="141">
        <v>-2.0134228187919461</v>
      </c>
      <c r="R38" s="15">
        <v>-6.5771812080536911</v>
      </c>
      <c r="S38" s="141">
        <v>4.9664429530201337</v>
      </c>
      <c r="T38" s="15">
        <v>14.36241610738255</v>
      </c>
      <c r="U38" s="141">
        <v>-10.10738255033557</v>
      </c>
      <c r="W38" s="16">
        <v>2.2818791946308723</v>
      </c>
      <c r="X38" s="141">
        <v>-4.9664429530201337</v>
      </c>
      <c r="Y38" s="17">
        <v>-4.6979865771812079</v>
      </c>
      <c r="Z38" s="141">
        <v>11.677852348993289</v>
      </c>
      <c r="AB38" s="16">
        <f>(-3+111)/7.45</f>
        <v>14.496644295302014</v>
      </c>
      <c r="AC38" s="141">
        <v>15.973154362416107</v>
      </c>
      <c r="AD38" s="17">
        <v>-18.120805369127517</v>
      </c>
      <c r="AE38" s="141">
        <v>11.275167785234899</v>
      </c>
      <c r="AG38" s="16">
        <v>-16.51006711409396</v>
      </c>
      <c r="AH38" s="141">
        <v>-4.9664429530201337</v>
      </c>
      <c r="AI38" s="17">
        <v>-3.6241610738255035</v>
      </c>
      <c r="AJ38" s="141">
        <v>7.651006711409396</v>
      </c>
      <c r="AL38" s="16">
        <v>6.7114093959731544</v>
      </c>
      <c r="AM38" s="141">
        <v>-0.53691275167785235</v>
      </c>
      <c r="AN38" s="17">
        <v>8.0536912751677843</v>
      </c>
      <c r="AO38" s="141">
        <v>-2.6845637583892619</v>
      </c>
      <c r="AQ38" s="16">
        <v>3.7583892617449663</v>
      </c>
      <c r="AR38" s="141">
        <v>-6.174496644295302</v>
      </c>
      <c r="AS38" s="17">
        <v>-6.174496644295302</v>
      </c>
      <c r="AT38" s="141">
        <v>-6.0402684563758386</v>
      </c>
      <c r="AV38" s="16">
        <v>-9.6644295302013425</v>
      </c>
      <c r="AW38" s="141">
        <v>4.9664429530201337</v>
      </c>
      <c r="AX38" s="17">
        <v>22.550335570469798</v>
      </c>
      <c r="AY38" s="141">
        <v>5.1006711409395971</v>
      </c>
      <c r="BA38" s="16">
        <v>35.302013422818789</v>
      </c>
      <c r="BB38" s="141">
        <f>(137-263)/7.45</f>
        <v>-16.912751677852349</v>
      </c>
      <c r="BC38" s="17">
        <v>-13.557046979865772</v>
      </c>
      <c r="BD38" s="141">
        <v>1.1000000000000001</v>
      </c>
      <c r="BF38" s="16">
        <v>-5.8</v>
      </c>
      <c r="BG38" s="141">
        <v>1.6</v>
      </c>
      <c r="BH38" s="17"/>
      <c r="BI38" s="141"/>
    </row>
    <row r="39" spans="1:61 16384:16384">
      <c r="A39" s="15" t="s">
        <v>223</v>
      </c>
      <c r="C39" s="15">
        <v>-1.6107382550335569</v>
      </c>
      <c r="D39" s="141">
        <v>0</v>
      </c>
      <c r="E39" s="15">
        <v>-37.04697986577181</v>
      </c>
      <c r="F39" s="141">
        <v>0</v>
      </c>
      <c r="H39" s="15">
        <v>-8.5906040268456376</v>
      </c>
      <c r="I39" s="141">
        <v>1.7449664429530201</v>
      </c>
      <c r="J39" s="15">
        <v>0</v>
      </c>
      <c r="K39" s="141">
        <v>0</v>
      </c>
      <c r="M39" s="15">
        <v>0.93959731543624159</v>
      </c>
      <c r="N39" s="141">
        <v>1.3422818791946309</v>
      </c>
      <c r="O39" s="15">
        <v>0</v>
      </c>
      <c r="P39" s="141">
        <v>0</v>
      </c>
      <c r="R39" s="15">
        <v>0.53691275167785235</v>
      </c>
      <c r="S39" s="141">
        <v>1.6107382550335569</v>
      </c>
      <c r="T39" s="15">
        <v>0.13422818791946309</v>
      </c>
      <c r="U39" s="141">
        <v>0.13422818791946309</v>
      </c>
      <c r="W39" s="16">
        <v>0.13422818791946309</v>
      </c>
      <c r="X39" s="141">
        <v>0.26845637583892618</v>
      </c>
      <c r="Y39" s="16">
        <v>0.13422818791946309</v>
      </c>
      <c r="Z39" s="141">
        <v>0.13422818791946309</v>
      </c>
      <c r="AB39" s="16">
        <v>0.26845637583892618</v>
      </c>
      <c r="AC39" s="141">
        <v>0.67114093959731547</v>
      </c>
      <c r="AD39" s="16">
        <v>0.13422818791946309</v>
      </c>
      <c r="AE39" s="141">
        <v>0.13422818791946309</v>
      </c>
      <c r="AG39" s="16">
        <v>0.13422818791946309</v>
      </c>
      <c r="AH39" s="141">
        <v>0.26845637583892618</v>
      </c>
      <c r="AI39" s="16">
        <v>0.13422818791946309</v>
      </c>
      <c r="AJ39" s="141">
        <v>0</v>
      </c>
      <c r="AL39" s="16">
        <f>(1+22)/7.45</f>
        <v>3.087248322147651</v>
      </c>
      <c r="AM39" s="141">
        <v>0.13422818791946309</v>
      </c>
      <c r="AN39" s="16">
        <v>0.26845637583892618</v>
      </c>
      <c r="AO39" s="141">
        <v>0.13422818791946309</v>
      </c>
      <c r="AQ39" s="16">
        <v>1.0738255033557047</v>
      </c>
      <c r="AR39" s="141">
        <v>0.13422818791946309</v>
      </c>
      <c r="AS39" s="16">
        <v>0.13422818791946309</v>
      </c>
      <c r="AT39" s="141">
        <v>0.53691275167785235</v>
      </c>
      <c r="AV39" s="16">
        <v>0.13422818791946309</v>
      </c>
      <c r="AW39" s="141">
        <v>0.13422818791946309</v>
      </c>
      <c r="AX39" s="16">
        <v>0</v>
      </c>
      <c r="AY39" s="141">
        <v>0</v>
      </c>
      <c r="BA39" s="16">
        <v>11.409395973154362</v>
      </c>
      <c r="BB39" s="141">
        <v>0.13422818791946309</v>
      </c>
      <c r="BC39" s="16">
        <v>0.13422818791946309</v>
      </c>
      <c r="BD39" s="141">
        <v>0</v>
      </c>
      <c r="BF39" s="16">
        <f>6.3+0.1-4.7</f>
        <v>1.6999999999999993</v>
      </c>
      <c r="BG39" s="141">
        <f>0.1-0.9+6.3-24.9-1.7-2</f>
        <v>-23.099999999999998</v>
      </c>
      <c r="BH39" s="16"/>
      <c r="BI39" s="141"/>
    </row>
    <row r="40" spans="1:61 16384:16384" s="142" customFormat="1">
      <c r="A40" s="142" t="s">
        <v>129</v>
      </c>
      <c r="B40" s="143"/>
      <c r="C40" s="142">
        <v>0</v>
      </c>
      <c r="D40" s="144">
        <v>-26.308724832214764</v>
      </c>
      <c r="E40" s="142">
        <v>0</v>
      </c>
      <c r="F40" s="144">
        <v>0</v>
      </c>
      <c r="G40" s="143"/>
      <c r="H40" s="142">
        <v>0</v>
      </c>
      <c r="I40" s="144">
        <v>-39.463087248322147</v>
      </c>
      <c r="J40" s="142">
        <v>0</v>
      </c>
      <c r="K40" s="144">
        <v>0</v>
      </c>
      <c r="L40" s="143"/>
      <c r="M40" s="142">
        <v>0</v>
      </c>
      <c r="N40" s="144">
        <v>-31.677852348993287</v>
      </c>
      <c r="O40" s="142">
        <v>0</v>
      </c>
      <c r="P40" s="144">
        <v>0</v>
      </c>
      <c r="Q40" s="143"/>
      <c r="R40" s="142">
        <v>0</v>
      </c>
      <c r="S40" s="144">
        <v>-34.899328859060404</v>
      </c>
      <c r="T40" s="142">
        <v>0</v>
      </c>
      <c r="U40" s="144">
        <v>0</v>
      </c>
      <c r="V40" s="143"/>
      <c r="W40" s="142">
        <v>0</v>
      </c>
      <c r="X40" s="144">
        <v>0</v>
      </c>
      <c r="Y40" s="167">
        <v>0</v>
      </c>
      <c r="Z40" s="144">
        <v>0</v>
      </c>
      <c r="AB40" s="142">
        <v>-11.140939597315436</v>
      </c>
      <c r="AC40" s="144">
        <v>0</v>
      </c>
      <c r="AD40" s="167">
        <v>0</v>
      </c>
      <c r="AE40" s="144">
        <v>0</v>
      </c>
      <c r="AG40" s="142">
        <v>-6.3087248322147653</v>
      </c>
      <c r="AH40" s="144">
        <v>0</v>
      </c>
      <c r="AI40" s="167">
        <v>0</v>
      </c>
      <c r="AJ40" s="144">
        <v>0</v>
      </c>
      <c r="AL40" s="142">
        <v>-6.4429530201342278</v>
      </c>
      <c r="AM40" s="144">
        <v>0</v>
      </c>
      <c r="AN40" s="167">
        <v>0</v>
      </c>
      <c r="AO40" s="144">
        <v>0</v>
      </c>
      <c r="AQ40" s="166">
        <v>-25.63758389261745</v>
      </c>
      <c r="AR40" s="144">
        <v>0</v>
      </c>
      <c r="AS40" s="167">
        <v>0</v>
      </c>
      <c r="AT40" s="144">
        <v>0</v>
      </c>
      <c r="AV40" s="166">
        <v>-11.275167785234899</v>
      </c>
      <c r="AW40" s="144">
        <v>0</v>
      </c>
      <c r="AX40" s="167">
        <v>0</v>
      </c>
      <c r="AY40" s="144">
        <v>0</v>
      </c>
      <c r="BA40" s="166">
        <v>-13.020134228187919</v>
      </c>
      <c r="BB40" s="144">
        <v>0</v>
      </c>
      <c r="BC40" s="167">
        <v>0</v>
      </c>
      <c r="BD40" s="144">
        <v>0</v>
      </c>
      <c r="BF40" s="166">
        <v>-13</v>
      </c>
      <c r="BG40" s="144">
        <v>0</v>
      </c>
      <c r="BH40" s="167"/>
      <c r="BI40" s="144"/>
    </row>
    <row r="41" spans="1:61 16384:16384" s="168" customFormat="1" ht="13.5" thickBot="1">
      <c r="A41" s="168" t="s">
        <v>181</v>
      </c>
      <c r="B41" s="169"/>
      <c r="C41" s="168">
        <f>SUM(C35:C40)</f>
        <v>375.83892617449663</v>
      </c>
      <c r="D41" s="170">
        <f>SUM(D35:D40)</f>
        <v>370.73825503355704</v>
      </c>
      <c r="E41" s="168">
        <f>SUM(E35:E40)</f>
        <v>353.82550335570471</v>
      </c>
      <c r="F41" s="170">
        <f>SUM(F35:F40)</f>
        <v>367.11409395973152</v>
      </c>
      <c r="G41" s="169"/>
      <c r="H41" s="168">
        <f>SUM(H35:H40)</f>
        <v>372.48322147651004</v>
      </c>
      <c r="I41" s="170">
        <f>SUM(I35:I40)</f>
        <v>348.5906040268456</v>
      </c>
      <c r="J41" s="168">
        <f>SUM(J35:J40)</f>
        <v>359.32885906040264</v>
      </c>
      <c r="K41" s="170">
        <f>SUM(K35:K40)</f>
        <v>376.6442953020134</v>
      </c>
      <c r="L41" s="169"/>
      <c r="M41" s="168">
        <f>SUM(M35:M40)</f>
        <v>390.20134228187914</v>
      </c>
      <c r="N41" s="170">
        <f>SUM(N35:N40)</f>
        <v>385.50335570469792</v>
      </c>
      <c r="O41" s="168">
        <f>SUM(O35:O40)</f>
        <v>401.2080536912751</v>
      </c>
      <c r="P41" s="170">
        <f>SUM(P35:P40)</f>
        <v>440.67114093959725</v>
      </c>
      <c r="Q41" s="169"/>
      <c r="R41" s="168">
        <f>SUM(R35:R40)</f>
        <v>453.15436241610735</v>
      </c>
      <c r="S41" s="170">
        <f>SUM(S35:S40)</f>
        <v>455.97315436241604</v>
      </c>
      <c r="T41" s="168">
        <f>SUM(T35:T40)</f>
        <v>489.12751677852344</v>
      </c>
      <c r="U41" s="170">
        <f>SUM(U35:U40)</f>
        <v>465.06040268456371</v>
      </c>
      <c r="V41" s="169"/>
      <c r="W41" s="168">
        <f>SUM(W35:W40)</f>
        <v>467.47651006711402</v>
      </c>
      <c r="X41" s="170">
        <f>SUM(X35:X40)</f>
        <v>475.39597315436237</v>
      </c>
      <c r="Y41" s="168">
        <f>SUM(Y35:Y40)</f>
        <v>480.3624161073825</v>
      </c>
      <c r="Z41" s="170">
        <f>SUM(Z35:Z40)</f>
        <v>501.97315436241604</v>
      </c>
      <c r="AB41" s="168">
        <f>SUM(AB35:AB40)</f>
        <v>514.32214765100662</v>
      </c>
      <c r="AC41" s="170">
        <f>SUM(AC35:AC40)</f>
        <v>543.98657718120796</v>
      </c>
      <c r="AD41" s="168">
        <f>SUM(AD35:AD40)</f>
        <v>536.73825503355692</v>
      </c>
      <c r="AE41" s="170">
        <f>SUM(AE35:AE40)</f>
        <v>551.9060402684562</v>
      </c>
      <c r="AG41" s="168">
        <f>SUM(AG35:AG40)</f>
        <v>536.0671140939595</v>
      </c>
      <c r="AH41" s="170">
        <f>SUM(AH35:AH40)</f>
        <v>535.3959731543622</v>
      </c>
      <c r="AI41" s="168">
        <f>SUM(AI35:AI40)</f>
        <v>537.67785234899316</v>
      </c>
      <c r="AJ41" s="170">
        <f>SUM(AJ35:AJ40)</f>
        <v>545.73154362416096</v>
      </c>
      <c r="AL41" s="168">
        <f>SUM(AL35:AL40)</f>
        <v>553.24832214765081</v>
      </c>
      <c r="AM41" s="168">
        <f>SUM(AM35:AM40)</f>
        <v>745.99999999999977</v>
      </c>
      <c r="AN41" s="171">
        <f>SUM(AN35:AN40)</f>
        <v>759.28859060402669</v>
      </c>
      <c r="AO41" s="170">
        <f>SUM(AO35:AO40)</f>
        <v>770.02684563758373</v>
      </c>
      <c r="AQ41" s="171">
        <f>SUM(AQ35:AQ40)</f>
        <v>748.81879194630847</v>
      </c>
      <c r="AR41" s="170">
        <f>SUM(AR35:AR40)</f>
        <v>752.97986577181177</v>
      </c>
      <c r="AS41" s="171">
        <f>SUM(AS35:AS40)</f>
        <v>754.05369127516747</v>
      </c>
      <c r="AT41" s="170">
        <f>SUM(AT35:AT40)</f>
        <v>761.57046979865731</v>
      </c>
      <c r="AV41" s="171">
        <f>SUM(AV35:AV40)</f>
        <v>752.44295302013381</v>
      </c>
      <c r="AW41" s="170">
        <f>SUM(AW35:AW40)</f>
        <v>763.85234899328816</v>
      </c>
      <c r="AX41" s="171">
        <f>SUM(AX35:AX40)</f>
        <v>794.45637583892574</v>
      </c>
      <c r="AY41" s="170">
        <f>SUM(AY35:AY40)</f>
        <v>801.9731543624157</v>
      </c>
      <c r="BA41" s="171">
        <f>SUM(BA35:BA40)</f>
        <v>847.87919463087201</v>
      </c>
      <c r="BB41" s="170">
        <f>SUM(BB35:BB40)</f>
        <v>803.44966442952966</v>
      </c>
      <c r="BC41" s="171">
        <f>SUM(BC35:BC40)</f>
        <v>799.69127516778474</v>
      </c>
      <c r="BD41" s="170">
        <f>SUM(BD35:BD40)</f>
        <v>809.45127516778484</v>
      </c>
      <c r="BF41" s="171">
        <f>SUM(BF35:BF40)</f>
        <v>802.95227516778493</v>
      </c>
      <c r="BG41" s="170">
        <f>SUM(BG35:BG40)</f>
        <v>801.65227516778498</v>
      </c>
      <c r="BH41" s="171"/>
      <c r="BI41" s="170"/>
      <c r="XFD41" s="171"/>
    </row>
    <row r="42" spans="1:61 16384:16384">
      <c r="AQ42" s="16"/>
      <c r="AR42" s="16"/>
      <c r="AV42" s="172"/>
      <c r="AW42" s="16"/>
      <c r="BA42" s="172"/>
      <c r="BB42" s="16"/>
      <c r="BF42" s="172"/>
      <c r="BG42" s="16"/>
    </row>
  </sheetData>
  <mergeCells count="24">
    <mergeCell ref="BF1:BI1"/>
    <mergeCell ref="BF2:BI2"/>
    <mergeCell ref="C2:F2"/>
    <mergeCell ref="AV1:AY1"/>
    <mergeCell ref="AV2:AY2"/>
    <mergeCell ref="AL1:AO1"/>
    <mergeCell ref="AB1:AE1"/>
    <mergeCell ref="AB2:AE2"/>
    <mergeCell ref="AG1:AJ1"/>
    <mergeCell ref="AG2:AJ2"/>
    <mergeCell ref="H2:K2"/>
    <mergeCell ref="AQ1:AT1"/>
    <mergeCell ref="AQ2:AT2"/>
    <mergeCell ref="W1:Z1"/>
    <mergeCell ref="R2:U2"/>
    <mergeCell ref="H1:K1"/>
    <mergeCell ref="C1:F1"/>
    <mergeCell ref="BA1:BD1"/>
    <mergeCell ref="BA2:BD2"/>
    <mergeCell ref="M1:P1"/>
    <mergeCell ref="R1:U1"/>
    <mergeCell ref="M2:P2"/>
    <mergeCell ref="W2:Z2"/>
    <mergeCell ref="AL2:AO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32"/>
  <sheetViews>
    <sheetView showGridLines="0" zoomScaleNormal="100" zoomScaleSheetLayoutView="75" workbookViewId="0">
      <pane xSplit="1" ySplit="4" topLeftCell="BA5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BG55" sqref="BG55"/>
    </sheetView>
  </sheetViews>
  <sheetFormatPr defaultColWidth="9.140625" defaultRowHeight="12.75"/>
  <cols>
    <col min="1" max="1" width="37.140625" style="15" customWidth="1"/>
    <col min="2" max="2" width="4.7109375" style="15" customWidth="1"/>
    <col min="3" max="6" width="8.7109375" style="15" customWidth="1"/>
    <col min="7" max="7" width="8.7109375" style="140" customWidth="1"/>
    <col min="8" max="8" width="4.7109375" style="15" customWidth="1"/>
    <col min="9" max="12" width="8.7109375" style="15" customWidth="1"/>
    <col min="13" max="13" width="8.7109375" style="140" customWidth="1"/>
    <col min="14" max="14" width="4.7109375" style="15" customWidth="1"/>
    <col min="15" max="18" width="8.7109375" style="15" customWidth="1"/>
    <col min="19" max="19" width="8.7109375" style="140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140" customWidth="1"/>
    <col min="26" max="26" width="4.7109375" style="15" customWidth="1"/>
    <col min="27" max="30" width="8.7109375" style="15" customWidth="1"/>
    <col min="31" max="31" width="8.7109375" style="140" customWidth="1"/>
    <col min="32" max="32" width="4.7109375" style="15" customWidth="1"/>
    <col min="33" max="36" width="8.7109375" style="15" customWidth="1"/>
    <col min="37" max="37" width="8.7109375" style="140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16384" width="9.140625" style="15"/>
  </cols>
  <sheetData>
    <row r="1" spans="1:73">
      <c r="C1" s="231" t="s">
        <v>80</v>
      </c>
      <c r="D1" s="231"/>
      <c r="E1" s="231"/>
      <c r="F1" s="231"/>
      <c r="G1" s="231"/>
      <c r="I1" s="231" t="s">
        <v>80</v>
      </c>
      <c r="J1" s="231"/>
      <c r="K1" s="231"/>
      <c r="L1" s="231"/>
      <c r="M1" s="231"/>
      <c r="O1" s="231" t="s">
        <v>80</v>
      </c>
      <c r="P1" s="231"/>
      <c r="Q1" s="231"/>
      <c r="R1" s="231"/>
      <c r="S1" s="231"/>
      <c r="U1" s="231" t="s">
        <v>80</v>
      </c>
      <c r="V1" s="231"/>
      <c r="W1" s="231"/>
      <c r="X1" s="231"/>
      <c r="Y1" s="231"/>
      <c r="AA1" s="231" t="s">
        <v>80</v>
      </c>
      <c r="AB1" s="231"/>
      <c r="AC1" s="231"/>
      <c r="AD1" s="231"/>
      <c r="AE1" s="231"/>
      <c r="AG1" s="231" t="s">
        <v>80</v>
      </c>
      <c r="AH1" s="231"/>
      <c r="AI1" s="231"/>
      <c r="AJ1" s="231"/>
      <c r="AK1" s="231"/>
      <c r="AM1" s="231" t="s">
        <v>80</v>
      </c>
      <c r="AN1" s="231"/>
      <c r="AO1" s="231"/>
      <c r="AP1" s="231"/>
      <c r="AQ1" s="231"/>
      <c r="AS1" s="231" t="s">
        <v>80</v>
      </c>
      <c r="AT1" s="231"/>
      <c r="AU1" s="231"/>
      <c r="AV1" s="231"/>
      <c r="AW1" s="231"/>
      <c r="AY1" s="231" t="s">
        <v>80</v>
      </c>
      <c r="AZ1" s="231"/>
      <c r="BA1" s="231"/>
      <c r="BB1" s="231"/>
      <c r="BC1" s="231"/>
      <c r="BE1" s="231" t="s">
        <v>80</v>
      </c>
      <c r="BF1" s="231"/>
      <c r="BG1" s="231"/>
      <c r="BH1" s="231"/>
      <c r="BI1" s="231"/>
      <c r="BK1" s="231" t="s">
        <v>80</v>
      </c>
      <c r="BL1" s="231"/>
      <c r="BM1" s="231"/>
      <c r="BN1" s="231"/>
      <c r="BO1" s="231"/>
      <c r="BQ1" s="231" t="s">
        <v>80</v>
      </c>
      <c r="BR1" s="231"/>
      <c r="BS1" s="231"/>
      <c r="BT1" s="231"/>
      <c r="BU1" s="231"/>
    </row>
    <row r="2" spans="1:73">
      <c r="AQ2" s="140"/>
      <c r="AW2" s="140"/>
      <c r="BC2" s="140"/>
      <c r="BI2" s="140"/>
      <c r="BO2" s="140"/>
      <c r="BU2" s="140"/>
    </row>
    <row r="3" spans="1:73" s="153" customFormat="1">
      <c r="A3" s="173" t="s">
        <v>34</v>
      </c>
      <c r="C3" s="234" t="s">
        <v>186</v>
      </c>
      <c r="D3" s="235"/>
      <c r="E3" s="235"/>
      <c r="F3" s="235"/>
      <c r="G3" s="235"/>
      <c r="I3" s="234" t="s">
        <v>187</v>
      </c>
      <c r="J3" s="235"/>
      <c r="K3" s="235"/>
      <c r="L3" s="235"/>
      <c r="M3" s="235"/>
      <c r="O3" s="234" t="s">
        <v>188</v>
      </c>
      <c r="P3" s="235"/>
      <c r="Q3" s="235"/>
      <c r="R3" s="235"/>
      <c r="S3" s="235"/>
      <c r="U3" s="234" t="s">
        <v>189</v>
      </c>
      <c r="V3" s="235"/>
      <c r="W3" s="235"/>
      <c r="X3" s="235"/>
      <c r="Y3" s="235"/>
      <c r="AA3" s="234" t="s">
        <v>190</v>
      </c>
      <c r="AB3" s="235"/>
      <c r="AC3" s="235"/>
      <c r="AD3" s="235"/>
      <c r="AE3" s="235"/>
      <c r="AG3" s="234" t="s">
        <v>191</v>
      </c>
      <c r="AH3" s="235"/>
      <c r="AI3" s="235"/>
      <c r="AJ3" s="235"/>
      <c r="AK3" s="235"/>
      <c r="AM3" s="234" t="s">
        <v>196</v>
      </c>
      <c r="AN3" s="235"/>
      <c r="AO3" s="235"/>
      <c r="AP3" s="235"/>
      <c r="AQ3" s="235"/>
      <c r="AS3" s="234" t="s">
        <v>195</v>
      </c>
      <c r="AT3" s="235"/>
      <c r="AU3" s="235"/>
      <c r="AV3" s="235"/>
      <c r="AW3" s="235"/>
      <c r="AY3" s="234" t="s">
        <v>194</v>
      </c>
      <c r="AZ3" s="235"/>
      <c r="BA3" s="235"/>
      <c r="BB3" s="235"/>
      <c r="BC3" s="235"/>
      <c r="BE3" s="234" t="s">
        <v>193</v>
      </c>
      <c r="BF3" s="235"/>
      <c r="BG3" s="235"/>
      <c r="BH3" s="235"/>
      <c r="BI3" s="235"/>
      <c r="BK3" s="234" t="s">
        <v>192</v>
      </c>
      <c r="BL3" s="235"/>
      <c r="BM3" s="235"/>
      <c r="BN3" s="235"/>
      <c r="BO3" s="235"/>
      <c r="BQ3" s="234" t="s">
        <v>214</v>
      </c>
      <c r="BR3" s="235"/>
      <c r="BS3" s="235"/>
      <c r="BT3" s="235"/>
      <c r="BU3" s="235"/>
    </row>
    <row r="4" spans="1:73" s="175" customFormat="1" ht="13.5" thickBot="1">
      <c r="A4" s="174" t="s">
        <v>182</v>
      </c>
      <c r="C4" s="176" t="s">
        <v>10</v>
      </c>
      <c r="D4" s="176" t="s">
        <v>11</v>
      </c>
      <c r="E4" s="176" t="s">
        <v>12</v>
      </c>
      <c r="F4" s="176" t="s">
        <v>13</v>
      </c>
      <c r="G4" s="176" t="s">
        <v>14</v>
      </c>
      <c r="I4" s="176" t="s">
        <v>10</v>
      </c>
      <c r="J4" s="176" t="s">
        <v>11</v>
      </c>
      <c r="K4" s="176" t="s">
        <v>12</v>
      </c>
      <c r="L4" s="176" t="s">
        <v>13</v>
      </c>
      <c r="M4" s="176" t="s">
        <v>14</v>
      </c>
      <c r="O4" s="176" t="s">
        <v>10</v>
      </c>
      <c r="P4" s="176" t="s">
        <v>11</v>
      </c>
      <c r="Q4" s="176" t="s">
        <v>12</v>
      </c>
      <c r="R4" s="176" t="s">
        <v>13</v>
      </c>
      <c r="S4" s="176" t="s">
        <v>14</v>
      </c>
      <c r="U4" s="176" t="s">
        <v>10</v>
      </c>
      <c r="V4" s="176" t="s">
        <v>11</v>
      </c>
      <c r="W4" s="176" t="s">
        <v>12</v>
      </c>
      <c r="X4" s="176" t="s">
        <v>13</v>
      </c>
      <c r="Y4" s="176" t="s">
        <v>14</v>
      </c>
      <c r="AA4" s="176" t="s">
        <v>10</v>
      </c>
      <c r="AB4" s="176" t="s">
        <v>11</v>
      </c>
      <c r="AC4" s="176" t="s">
        <v>12</v>
      </c>
      <c r="AD4" s="176" t="s">
        <v>13</v>
      </c>
      <c r="AE4" s="176" t="s">
        <v>14</v>
      </c>
      <c r="AG4" s="176" t="s">
        <v>10</v>
      </c>
      <c r="AH4" s="176" t="s">
        <v>11</v>
      </c>
      <c r="AI4" s="176" t="s">
        <v>12</v>
      </c>
      <c r="AJ4" s="176" t="s">
        <v>13</v>
      </c>
      <c r="AK4" s="176" t="s">
        <v>14</v>
      </c>
      <c r="AM4" s="176" t="s">
        <v>10</v>
      </c>
      <c r="AN4" s="176" t="s">
        <v>11</v>
      </c>
      <c r="AO4" s="176" t="s">
        <v>12</v>
      </c>
      <c r="AP4" s="176" t="s">
        <v>13</v>
      </c>
      <c r="AQ4" s="176" t="s">
        <v>14</v>
      </c>
      <c r="AS4" s="176" t="s">
        <v>10</v>
      </c>
      <c r="AT4" s="176" t="s">
        <v>11</v>
      </c>
      <c r="AU4" s="176" t="s">
        <v>12</v>
      </c>
      <c r="AV4" s="176" t="s">
        <v>13</v>
      </c>
      <c r="AW4" s="176" t="s">
        <v>14</v>
      </c>
      <c r="AY4" s="176" t="s">
        <v>10</v>
      </c>
      <c r="AZ4" s="176" t="s">
        <v>11</v>
      </c>
      <c r="BA4" s="176" t="s">
        <v>12</v>
      </c>
      <c r="BB4" s="176" t="s">
        <v>13</v>
      </c>
      <c r="BC4" s="176" t="s">
        <v>14</v>
      </c>
      <c r="BE4" s="176" t="s">
        <v>10</v>
      </c>
      <c r="BF4" s="176" t="s">
        <v>11</v>
      </c>
      <c r="BG4" s="176" t="s">
        <v>12</v>
      </c>
      <c r="BH4" s="176" t="s">
        <v>13</v>
      </c>
      <c r="BI4" s="176" t="s">
        <v>14</v>
      </c>
      <c r="BK4" s="176" t="s">
        <v>10</v>
      </c>
      <c r="BL4" s="176" t="s">
        <v>11</v>
      </c>
      <c r="BM4" s="176" t="s">
        <v>12</v>
      </c>
      <c r="BN4" s="176" t="s">
        <v>13</v>
      </c>
      <c r="BO4" s="176" t="s">
        <v>14</v>
      </c>
      <c r="BQ4" s="176" t="s">
        <v>10</v>
      </c>
      <c r="BR4" s="176" t="s">
        <v>11</v>
      </c>
      <c r="BS4" s="176" t="s">
        <v>12</v>
      </c>
      <c r="BT4" s="176" t="s">
        <v>13</v>
      </c>
      <c r="BU4" s="176" t="s">
        <v>14</v>
      </c>
    </row>
    <row r="5" spans="1:73" s="177" customFormat="1" ht="13.5" thickTop="1">
      <c r="G5" s="178"/>
      <c r="M5" s="178"/>
      <c r="S5" s="178"/>
      <c r="Y5" s="178"/>
      <c r="AE5" s="178"/>
      <c r="AK5" s="178"/>
      <c r="AQ5" s="178"/>
      <c r="AW5" s="178"/>
      <c r="BC5" s="178"/>
      <c r="BI5" s="178"/>
      <c r="BO5" s="178"/>
      <c r="BU5" s="178"/>
    </row>
    <row r="6" spans="1:73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4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4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4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4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4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4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4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4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4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4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4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U6" s="49">
        <f>SUM(BQ6:BT6)</f>
        <v>86.700999999999993</v>
      </c>
    </row>
    <row r="7" spans="1:73">
      <c r="A7" s="15" t="s">
        <v>94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4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4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4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4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4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4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4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4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4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4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4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U7" s="49">
        <f>SUM(BQ7:BT7)</f>
        <v>-4.0999999999999996</v>
      </c>
    </row>
    <row r="8" spans="1:73">
      <c r="A8" s="15" t="s">
        <v>95</v>
      </c>
      <c r="G8" s="49"/>
      <c r="M8" s="49"/>
      <c r="S8" s="49"/>
      <c r="X8" s="16"/>
      <c r="Y8" s="49"/>
      <c r="AC8" s="16"/>
      <c r="AD8" s="16"/>
      <c r="AE8" s="49"/>
      <c r="AH8" s="16"/>
      <c r="AI8" s="16"/>
      <c r="AJ8" s="16"/>
      <c r="AK8" s="49"/>
      <c r="AN8" s="16"/>
      <c r="AO8" s="16"/>
      <c r="AP8" s="16"/>
      <c r="AQ8" s="49"/>
      <c r="AT8" s="16"/>
      <c r="AU8" s="16"/>
      <c r="AV8" s="16"/>
      <c r="AW8" s="49"/>
      <c r="AZ8" s="16"/>
      <c r="BA8" s="16"/>
      <c r="BB8" s="16"/>
      <c r="BC8" s="49"/>
      <c r="BF8" s="16"/>
      <c r="BG8" s="16"/>
      <c r="BH8" s="16"/>
      <c r="BI8" s="49"/>
      <c r="BL8" s="16"/>
      <c r="BM8" s="16"/>
      <c r="BN8" s="16"/>
      <c r="BO8" s="49"/>
      <c r="BR8" s="16"/>
      <c r="BS8" s="16"/>
      <c r="BT8" s="16"/>
      <c r="BU8" s="49"/>
    </row>
    <row r="9" spans="1:73" ht="12.75" customHeight="1">
      <c r="A9" s="15" t="s">
        <v>96</v>
      </c>
      <c r="G9" s="49"/>
      <c r="M9" s="49"/>
      <c r="S9" s="49"/>
      <c r="X9" s="16"/>
      <c r="Y9" s="49"/>
      <c r="AC9" s="16"/>
      <c r="AD9" s="16"/>
      <c r="AE9" s="49"/>
      <c r="AH9" s="16"/>
      <c r="AI9" s="16"/>
      <c r="AJ9" s="16"/>
      <c r="AK9" s="49"/>
      <c r="AN9" s="16"/>
      <c r="AO9" s="16"/>
      <c r="AP9" s="16"/>
      <c r="AQ9" s="49"/>
      <c r="AT9" s="16"/>
      <c r="AU9" s="16"/>
      <c r="AV9" s="16"/>
      <c r="AW9" s="49"/>
      <c r="AZ9" s="16"/>
      <c r="BA9" s="16"/>
      <c r="BB9" s="16"/>
      <c r="BC9" s="49"/>
      <c r="BF9" s="16"/>
      <c r="BG9" s="16"/>
      <c r="BH9" s="16"/>
      <c r="BI9" s="49"/>
      <c r="BL9" s="16"/>
      <c r="BM9" s="16"/>
      <c r="BN9" s="16"/>
      <c r="BO9" s="49"/>
      <c r="BR9" s="16"/>
      <c r="BS9" s="16"/>
      <c r="BT9" s="16"/>
      <c r="BU9" s="49"/>
    </row>
    <row r="10" spans="1:73" s="140" customFormat="1" ht="12.75" customHeight="1">
      <c r="A10" s="15" t="s">
        <v>198</v>
      </c>
      <c r="B10" s="15"/>
      <c r="C10" s="153">
        <v>-40</v>
      </c>
      <c r="D10" s="153">
        <v>-20.805369127516776</v>
      </c>
      <c r="E10" s="153">
        <v>-17.986577181208052</v>
      </c>
      <c r="F10" s="153">
        <v>-8.4563758389261743</v>
      </c>
      <c r="G10" s="49">
        <f>SUM(C10:F10)</f>
        <v>-87.24832214765101</v>
      </c>
      <c r="H10" s="15"/>
      <c r="I10" s="153">
        <v>-50.738255033557046</v>
      </c>
      <c r="J10" s="153">
        <v>-37.852348993288587</v>
      </c>
      <c r="K10" s="153">
        <v>-8.0536912751677843</v>
      </c>
      <c r="L10" s="153">
        <v>1.6107382550335569</v>
      </c>
      <c r="M10" s="49">
        <f>SUM(I10:L10)</f>
        <v>-95.033557046979851</v>
      </c>
      <c r="N10" s="15"/>
      <c r="O10" s="153">
        <v>-23.48993288590604</v>
      </c>
      <c r="P10" s="153">
        <v>-31.409395973154361</v>
      </c>
      <c r="Q10" s="153">
        <v>16.778523489932887</v>
      </c>
      <c r="R10" s="153">
        <v>21.208053691275168</v>
      </c>
      <c r="S10" s="49">
        <f>SUM(O10:R10)</f>
        <v>-16.912751677852349</v>
      </c>
      <c r="T10" s="15"/>
      <c r="U10" s="153">
        <v>-68.859060402684563</v>
      </c>
      <c r="V10" s="153">
        <v>-55.838926174496642</v>
      </c>
      <c r="W10" s="153">
        <v>-12.885906040268456</v>
      </c>
      <c r="X10" s="179">
        <v>106.84563758389261</v>
      </c>
      <c r="Y10" s="49">
        <f>SUM(U10:X10)</f>
        <v>-30.738255033557053</v>
      </c>
      <c r="Z10" s="15"/>
      <c r="AA10" s="179">
        <v>10.067114093959731</v>
      </c>
      <c r="AB10" s="179">
        <v>-25.503355704697984</v>
      </c>
      <c r="AC10" s="179">
        <v>0.26845637583892618</v>
      </c>
      <c r="AD10" s="179">
        <v>4.9664429530201337</v>
      </c>
      <c r="AE10" s="49">
        <f>SUM(AA10:AD10)</f>
        <v>-10.201342281879192</v>
      </c>
      <c r="AG10" s="179">
        <v>-54.630872483221474</v>
      </c>
      <c r="AH10" s="179">
        <v>-66.979865771812072</v>
      </c>
      <c r="AI10" s="179">
        <f>(-18-3-336)/7.45</f>
        <v>-47.919463087248324</v>
      </c>
      <c r="AJ10" s="179">
        <v>16.778523489932887</v>
      </c>
      <c r="AK10" s="49">
        <f>SUM(AG10:AJ10)</f>
        <v>-152.75167785234896</v>
      </c>
      <c r="AM10" s="179">
        <v>-84.026845637583889</v>
      </c>
      <c r="AN10" s="179">
        <v>-10.335570469798657</v>
      </c>
      <c r="AO10" s="179">
        <v>25.906040268456376</v>
      </c>
      <c r="AP10" s="179">
        <v>46.308724832214764</v>
      </c>
      <c r="AQ10" s="49">
        <f>SUM(AM10:AP10)</f>
        <v>-22.147651006711399</v>
      </c>
      <c r="AS10" s="179">
        <v>-19.060402684563758</v>
      </c>
      <c r="AT10" s="179">
        <v>-14.899328859060402</v>
      </c>
      <c r="AU10" s="179">
        <v>-22.14765100671141</v>
      </c>
      <c r="AV10" s="179">
        <v>97.583892617449663</v>
      </c>
      <c r="AW10" s="49">
        <f>SUM(AS10:AV10)</f>
        <v>41.476510067114091</v>
      </c>
      <c r="AY10" s="179">
        <v>-92.617449664429529</v>
      </c>
      <c r="AZ10" s="179">
        <v>-33.422818791946305</v>
      </c>
      <c r="BA10" s="179">
        <v>20.268456375838927</v>
      </c>
      <c r="BB10" s="179">
        <v>52.348993288590606</v>
      </c>
      <c r="BC10" s="49">
        <f>SUM(AY10:BB10)</f>
        <v>-53.422818791946298</v>
      </c>
      <c r="BE10" s="179">
        <v>-9.6644295302013425</v>
      </c>
      <c r="BF10" s="179">
        <v>-11.543624161073826</v>
      </c>
      <c r="BG10" s="179">
        <v>-10.201342281879194</v>
      </c>
      <c r="BH10" s="179">
        <v>114.76510067114094</v>
      </c>
      <c r="BI10" s="49">
        <f>SUM(BE10:BH10)</f>
        <v>83.355704697986582</v>
      </c>
      <c r="BK10" s="179">
        <v>-22.281879194630871</v>
      </c>
      <c r="BL10" s="179">
        <f>(-65-281)/7.45</f>
        <v>-46.442953020134226</v>
      </c>
      <c r="BM10" s="179">
        <v>6.9798657718120802</v>
      </c>
      <c r="BN10" s="179">
        <v>89</v>
      </c>
      <c r="BO10" s="49">
        <f>SUM(BK10:BN10)</f>
        <v>27.255033557046978</v>
      </c>
      <c r="BQ10" s="179">
        <f>-38.3-5.5</f>
        <v>-43.8</v>
      </c>
      <c r="BR10" s="179">
        <v>-19.2</v>
      </c>
      <c r="BS10" s="179"/>
      <c r="BT10" s="179"/>
      <c r="BU10" s="49">
        <f>SUM(BQ10:BT10)</f>
        <v>-63</v>
      </c>
    </row>
    <row r="11" spans="1:73" s="183" customFormat="1" ht="15.75" customHeight="1">
      <c r="A11" s="180" t="s">
        <v>82</v>
      </c>
      <c r="B11" s="180"/>
      <c r="C11" s="180">
        <f>SUM(C6:C10)</f>
        <v>-25.234899328859058</v>
      </c>
      <c r="D11" s="180">
        <f>SUM(D6:D10)</f>
        <v>2.6845637583892632</v>
      </c>
      <c r="E11" s="180">
        <f>SUM(E6:E10)</f>
        <v>7.3825503355704711</v>
      </c>
      <c r="F11" s="180">
        <f>SUM(F6:F10)</f>
        <v>20.671140939597315</v>
      </c>
      <c r="G11" s="181">
        <f>SUM(G6:G10)</f>
        <v>5.5033557046979809</v>
      </c>
      <c r="H11" s="180"/>
      <c r="I11" s="180">
        <f>SUM(I6:I10)</f>
        <v>-28.993288590604028</v>
      </c>
      <c r="J11" s="180">
        <f>SUM(J6:J10)</f>
        <v>10.604026845637584</v>
      </c>
      <c r="K11" s="180">
        <f>SUM(K6:K10)</f>
        <v>24.966442953020135</v>
      </c>
      <c r="L11" s="180">
        <f>SUM(L6:L10)</f>
        <v>28.993288590604024</v>
      </c>
      <c r="M11" s="181">
        <f>SUM(M6:M10)</f>
        <v>35.570469798657726</v>
      </c>
      <c r="N11" s="180"/>
      <c r="O11" s="180">
        <f>SUM(O6:O10)</f>
        <v>6.7114093959731562</v>
      </c>
      <c r="P11" s="180">
        <f>SUM(P6:P10)</f>
        <v>18.791946308724832</v>
      </c>
      <c r="Q11" s="180">
        <f>SUM(Q6:Q10)</f>
        <v>57.04697986577181</v>
      </c>
      <c r="R11" s="180">
        <f>SUM(R6:R10)</f>
        <v>73.422818791946312</v>
      </c>
      <c r="S11" s="181">
        <f>SUM(S6:S10)</f>
        <v>155.9731543624161</v>
      </c>
      <c r="T11" s="180"/>
      <c r="U11" s="180">
        <f>SUM(U6:U10)</f>
        <v>-33.557046979865774</v>
      </c>
      <c r="V11" s="180">
        <f>SUM(V6:V10)</f>
        <v>-3.0872483221476514</v>
      </c>
      <c r="W11" s="180">
        <f>SUM(W6:W10)</f>
        <v>24.026845637583893</v>
      </c>
      <c r="X11" s="182">
        <f>SUM(X6:X10)</f>
        <v>115.03355704697987</v>
      </c>
      <c r="Y11" s="181">
        <f>SUM(Y6:Y10)</f>
        <v>102.41610738255035</v>
      </c>
      <c r="Z11" s="180"/>
      <c r="AA11" s="180">
        <f>SUM(AA6:AA10)</f>
        <v>22.456375838926171</v>
      </c>
      <c r="AB11" s="180">
        <f>SUM(AB6:AB10)</f>
        <v>2.8187919463087283</v>
      </c>
      <c r="AC11" s="182">
        <f>SUM(AC6:AC10)</f>
        <v>27.248322147651006</v>
      </c>
      <c r="AD11" s="182">
        <f>SUM(AD6:AD10)</f>
        <v>25.63758389261745</v>
      </c>
      <c r="AE11" s="181">
        <f>SUM(AE6:AE10)</f>
        <v>78.161073825503365</v>
      </c>
      <c r="AG11" s="180">
        <f>SUM(AG6:AG10)</f>
        <v>-29.664429530201343</v>
      </c>
      <c r="AH11" s="182">
        <f>SUM(AH6:AH10)</f>
        <v>-35.302013422818789</v>
      </c>
      <c r="AI11" s="182">
        <f>SUM(AI6:AI10)</f>
        <v>-20.134228187919462</v>
      </c>
      <c r="AJ11" s="182">
        <f>SUM(AJ6:AJ10)</f>
        <v>34.899328859060404</v>
      </c>
      <c r="AK11" s="181">
        <f>SUM(AK6:AK10)</f>
        <v>-50.201342281879164</v>
      </c>
      <c r="AM11" s="180">
        <f>SUM(AM6:AM10)</f>
        <v>-60.805369127516776</v>
      </c>
      <c r="AN11" s="182">
        <f>SUM(AN6:AN10)</f>
        <v>9.6644295302013425</v>
      </c>
      <c r="AO11" s="182">
        <f>SUM(AO6:AO10)</f>
        <v>53.557046979865774</v>
      </c>
      <c r="AP11" s="182">
        <f>SUM(AP6:AP10)</f>
        <v>72.483221476510067</v>
      </c>
      <c r="AQ11" s="181">
        <f>SUM(AQ6:AQ10)</f>
        <v>74.899328859060418</v>
      </c>
      <c r="AS11" s="180">
        <f>SUM(AS6:AS10)</f>
        <v>3.6241610738255048</v>
      </c>
      <c r="AT11" s="182">
        <f>SUM(AT6:AT10)</f>
        <v>8.8590604026845643</v>
      </c>
      <c r="AU11" s="182">
        <f>SUM(AU6:AU10)</f>
        <v>4.0268456375838895</v>
      </c>
      <c r="AV11" s="182">
        <f>SUM(AV6:AV10)</f>
        <v>134.09395973154363</v>
      </c>
      <c r="AW11" s="181">
        <f>SUM(AW6:AW10)</f>
        <v>150.60402684563758</v>
      </c>
      <c r="AY11" s="180">
        <f>SUM(AY6:AY10)</f>
        <v>-69.932885906040269</v>
      </c>
      <c r="AZ11" s="180">
        <f>SUM(AZ6:AZ10)</f>
        <v>-1.3422818791946298</v>
      </c>
      <c r="BA11" s="180">
        <f>SUM(BA6:BA10)</f>
        <v>47.785234899328856</v>
      </c>
      <c r="BB11" s="180">
        <f>SUM(BB6:BB10)</f>
        <v>96.644295302013418</v>
      </c>
      <c r="BC11" s="181">
        <f>SUM(BC6:BC10)</f>
        <v>73.154362416107375</v>
      </c>
      <c r="BE11" s="180">
        <f>SUM(BE6:BE10)</f>
        <v>26.711409395973153</v>
      </c>
      <c r="BF11" s="180">
        <f>SUM(BF6:BF10)</f>
        <v>14.630872483221474</v>
      </c>
      <c r="BG11" s="180">
        <f>SUM(BG6:BG10)</f>
        <v>17.31543624161074</v>
      </c>
      <c r="BH11" s="180">
        <f>SUM(BH6:BH10)</f>
        <v>153.82550335570471</v>
      </c>
      <c r="BI11" s="181">
        <f>SUM(BI6:BI10)</f>
        <v>212.48322147651004</v>
      </c>
      <c r="BK11" s="180">
        <f>SUM(BK6:BK10)</f>
        <v>12.751677852348994</v>
      </c>
      <c r="BL11" s="180">
        <f>SUM(BL6:BL10)</f>
        <v>5.3691275167785193</v>
      </c>
      <c r="BM11" s="180">
        <f>SUM(BM6:BM10)</f>
        <v>35.70469798657718</v>
      </c>
      <c r="BN11" s="180">
        <f>SUM(BN6:BN10)</f>
        <v>119.4</v>
      </c>
      <c r="BO11" s="181">
        <f>SUM(BO6:BO10)</f>
        <v>173.22550335570472</v>
      </c>
      <c r="BQ11" s="180">
        <f>SUM(BQ6:BQ10)</f>
        <v>-9.0990000000000038</v>
      </c>
      <c r="BR11" s="180">
        <f>SUM(BR6:BR10)</f>
        <v>28.7</v>
      </c>
      <c r="BS11" s="180"/>
      <c r="BT11" s="180"/>
      <c r="BU11" s="181">
        <f>SUM(BU6:BU10)</f>
        <v>19.600999999999999</v>
      </c>
    </row>
    <row r="12" spans="1:73" s="184" customFormat="1">
      <c r="G12" s="185"/>
      <c r="M12" s="185"/>
      <c r="S12" s="185"/>
      <c r="X12" s="186"/>
      <c r="Y12" s="185"/>
      <c r="AC12" s="186"/>
      <c r="AD12" s="186"/>
      <c r="AE12" s="185"/>
      <c r="AH12" s="186"/>
      <c r="AI12" s="186"/>
      <c r="AJ12" s="186"/>
      <c r="AK12" s="185"/>
      <c r="AN12" s="186"/>
      <c r="AO12" s="186"/>
      <c r="AP12" s="186"/>
      <c r="AQ12" s="185"/>
      <c r="AT12" s="186"/>
      <c r="AU12" s="186"/>
      <c r="AV12" s="186"/>
      <c r="AW12" s="185"/>
      <c r="AZ12" s="186"/>
      <c r="BA12" s="186"/>
      <c r="BB12" s="186"/>
      <c r="BC12" s="185"/>
      <c r="BF12" s="186"/>
      <c r="BG12" s="186"/>
      <c r="BH12" s="186"/>
      <c r="BI12" s="185"/>
      <c r="BL12" s="186"/>
      <c r="BM12" s="186"/>
      <c r="BN12" s="186"/>
      <c r="BO12" s="185"/>
      <c r="BR12" s="186"/>
      <c r="BS12" s="186"/>
      <c r="BT12" s="186"/>
      <c r="BU12" s="185"/>
    </row>
    <row r="13" spans="1:73">
      <c r="A13" s="15" t="s">
        <v>163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4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4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4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4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4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4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4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4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4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4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49">
        <f>SUM(BK13:BN13)</f>
        <v>-25.067785234899329</v>
      </c>
      <c r="BQ13" s="15">
        <v>-53.1</v>
      </c>
      <c r="BR13" s="16">
        <v>0</v>
      </c>
      <c r="BS13" s="16"/>
      <c r="BT13" s="16"/>
      <c r="BU13" s="49">
        <f>SUM(BQ13:BT13)</f>
        <v>-53.1</v>
      </c>
    </row>
    <row r="14" spans="1:73">
      <c r="A14" s="15" t="s">
        <v>97</v>
      </c>
      <c r="C14" s="15">
        <v>-3.7583892617449663</v>
      </c>
      <c r="D14" s="15">
        <v>-2.0134228187919461</v>
      </c>
      <c r="E14" s="15">
        <v>-7.5167785234899327</v>
      </c>
      <c r="F14" s="15">
        <v>-0.80536912751677847</v>
      </c>
      <c r="G14" s="49">
        <f>SUM(C14:F14)</f>
        <v>-14.093959731543624</v>
      </c>
      <c r="I14" s="15">
        <v>-8.9932885906040259</v>
      </c>
      <c r="J14" s="15">
        <v>23.624161073825501</v>
      </c>
      <c r="K14" s="15">
        <v>-6.174496644295302</v>
      </c>
      <c r="L14" s="15">
        <v>-12.348993288590604</v>
      </c>
      <c r="M14" s="49">
        <f>SUM(I14:L14)</f>
        <v>-3.8926174496644297</v>
      </c>
      <c r="N14" s="15" t="s">
        <v>54</v>
      </c>
      <c r="O14" s="15">
        <v>-11.946308724832214</v>
      </c>
      <c r="P14" s="15">
        <v>-11.409395973154362</v>
      </c>
      <c r="Q14" s="15">
        <v>-11.275167785234899</v>
      </c>
      <c r="R14" s="15">
        <v>-17.583892617449663</v>
      </c>
      <c r="S14" s="49">
        <f>SUM(O14:R14)</f>
        <v>-52.214765100671137</v>
      </c>
      <c r="T14" s="15" t="s">
        <v>54</v>
      </c>
      <c r="U14" s="15">
        <v>25.100671140939596</v>
      </c>
      <c r="V14" s="15">
        <v>-20.671140939597315</v>
      </c>
      <c r="W14" s="15">
        <f>(-408-33+272)/7.45</f>
        <v>-22.68456375838926</v>
      </c>
      <c r="X14" s="16">
        <v>-40.805369127516776</v>
      </c>
      <c r="Y14" s="49">
        <f>SUM(U14:X14)</f>
        <v>-59.060402684563755</v>
      </c>
      <c r="Z14" s="15" t="s">
        <v>54</v>
      </c>
      <c r="AA14" s="15">
        <v>-22.281879194630871</v>
      </c>
      <c r="AB14" s="17">
        <v>-34.228187919463089</v>
      </c>
      <c r="AC14" s="16">
        <v>-33.154362416107382</v>
      </c>
      <c r="AD14" s="16">
        <v>-26.845637583892618</v>
      </c>
      <c r="AE14" s="49">
        <f>SUM(AA14:AD14)</f>
        <v>-116.51006711409397</v>
      </c>
      <c r="AG14" s="15">
        <v>-39.597315436241608</v>
      </c>
      <c r="AH14" s="16">
        <v>-20.536912751677853</v>
      </c>
      <c r="AI14" s="16">
        <v>-17.583892617449663</v>
      </c>
      <c r="AJ14" s="16">
        <v>-19.328859060402685</v>
      </c>
      <c r="AK14" s="49">
        <f>SUM(AG14:AJ14)</f>
        <v>-97.046979865771817</v>
      </c>
      <c r="AM14" s="15">
        <v>-12.483221476510067</v>
      </c>
      <c r="AN14" s="16">
        <v>-14.630872483221475</v>
      </c>
      <c r="AO14" s="16">
        <v>-13.422818791946309</v>
      </c>
      <c r="AP14" s="16">
        <v>-16.778523489932887</v>
      </c>
      <c r="AQ14" s="49">
        <f>SUM(AM14:AP14)</f>
        <v>-57.315436241610733</v>
      </c>
      <c r="AS14" s="15">
        <v>-11.812080536912751</v>
      </c>
      <c r="AT14" s="16">
        <v>-8.9932885906040259</v>
      </c>
      <c r="AU14" s="16">
        <v>-7.1140939597315436</v>
      </c>
      <c r="AV14" s="16">
        <v>-14.630872483221475</v>
      </c>
      <c r="AW14" s="49">
        <f>SUM(AS14:AV14)</f>
        <v>-42.550335570469798</v>
      </c>
      <c r="AY14" s="15">
        <v>-8.0536912751677843</v>
      </c>
      <c r="AZ14" s="16">
        <v>-7.1140939597315436</v>
      </c>
      <c r="BA14" s="16">
        <v>-6.9798657718120802</v>
      </c>
      <c r="BB14" s="16">
        <v>-10.604026845637584</v>
      </c>
      <c r="BC14" s="49">
        <f>SUM(AY14:BB14)</f>
        <v>-32.75167785234899</v>
      </c>
      <c r="BE14" s="15">
        <v>-6.7114093959731544</v>
      </c>
      <c r="BF14" s="16">
        <v>-6.5771812080536911</v>
      </c>
      <c r="BG14" s="16">
        <v>-9.3959731543624159</v>
      </c>
      <c r="BH14" s="16">
        <v>-8.3221476510067109</v>
      </c>
      <c r="BI14" s="49">
        <f>SUM(BE14:BH14)</f>
        <v>-31.006711409395969</v>
      </c>
      <c r="BK14" s="15">
        <v>-5.1006711409395971</v>
      </c>
      <c r="BL14" s="16">
        <v>-7.3825503355704694</v>
      </c>
      <c r="BM14" s="16">
        <v>-6.8456375838926169</v>
      </c>
      <c r="BN14" s="16">
        <v>-15.8</v>
      </c>
      <c r="BO14" s="49">
        <f>SUM(BK14:BN14)</f>
        <v>-35.128859060402689</v>
      </c>
      <c r="BQ14" s="15">
        <v>-10.3</v>
      </c>
      <c r="BR14" s="16">
        <v>-6.6</v>
      </c>
      <c r="BS14" s="16"/>
      <c r="BT14" s="16"/>
      <c r="BU14" s="49">
        <f>SUM(BQ14:BT14)</f>
        <v>-16.899999999999999</v>
      </c>
    </row>
    <row r="15" spans="1:73" ht="15" customHeight="1">
      <c r="A15" s="15" t="s">
        <v>162</v>
      </c>
      <c r="C15" s="15">
        <v>-2.6845637583892619</v>
      </c>
      <c r="D15" s="15">
        <v>0</v>
      </c>
      <c r="E15" s="15">
        <v>0</v>
      </c>
      <c r="F15" s="15">
        <v>0</v>
      </c>
      <c r="G15" s="49">
        <f>SUM(C15:F15)</f>
        <v>-2.6845637583892619</v>
      </c>
      <c r="I15" s="15">
        <v>0</v>
      </c>
      <c r="J15" s="15">
        <v>0</v>
      </c>
      <c r="K15" s="15">
        <v>-7.7852348993288585</v>
      </c>
      <c r="L15" s="15">
        <v>0</v>
      </c>
      <c r="M15" s="49">
        <f>SUM(I15:L15)</f>
        <v>-7.7852348993288585</v>
      </c>
      <c r="O15" s="15">
        <v>0</v>
      </c>
      <c r="P15" s="15">
        <v>0</v>
      </c>
      <c r="Q15" s="15">
        <v>0</v>
      </c>
      <c r="R15" s="15">
        <v>0</v>
      </c>
      <c r="S15" s="49">
        <f>SUM(O15:R15)</f>
        <v>0</v>
      </c>
      <c r="U15" s="15">
        <v>0</v>
      </c>
      <c r="V15" s="15">
        <v>0</v>
      </c>
      <c r="W15" s="15">
        <v>0</v>
      </c>
      <c r="X15" s="16">
        <v>0</v>
      </c>
      <c r="Y15" s="49">
        <f>SUM(U15:X15)</f>
        <v>0</v>
      </c>
      <c r="AA15" s="15">
        <v>0</v>
      </c>
      <c r="AB15" s="17">
        <v>0</v>
      </c>
      <c r="AC15" s="16">
        <v>0</v>
      </c>
      <c r="AD15" s="16">
        <v>-3.087248322147651</v>
      </c>
      <c r="AE15" s="49">
        <f>SUM(AA15:AD15)</f>
        <v>-3.087248322147651</v>
      </c>
      <c r="AG15" s="15">
        <v>0</v>
      </c>
      <c r="AH15" s="16">
        <v>0</v>
      </c>
      <c r="AI15" s="16">
        <v>0</v>
      </c>
      <c r="AJ15" s="16">
        <v>0</v>
      </c>
      <c r="AK15" s="49">
        <f>SUM(AG15:AJ15)</f>
        <v>0</v>
      </c>
      <c r="AM15" s="15">
        <v>0</v>
      </c>
      <c r="AN15" s="16">
        <v>0</v>
      </c>
      <c r="AO15" s="16">
        <v>0</v>
      </c>
      <c r="AP15" s="16">
        <v>0</v>
      </c>
      <c r="AQ15" s="49">
        <f>SUM(AM15:AP15)</f>
        <v>0</v>
      </c>
      <c r="AS15" s="15">
        <v>0</v>
      </c>
      <c r="AT15" s="16">
        <v>0</v>
      </c>
      <c r="AU15" s="16">
        <v>0</v>
      </c>
      <c r="AV15" s="16">
        <v>0</v>
      </c>
      <c r="AW15" s="49">
        <f>SUM(AS15:AV15)</f>
        <v>0</v>
      </c>
      <c r="AZ15" s="16"/>
      <c r="BA15" s="16"/>
      <c r="BB15" s="16"/>
      <c r="BC15" s="49">
        <f>SUM(AY15:BB15)</f>
        <v>0</v>
      </c>
      <c r="BF15" s="16"/>
      <c r="BG15" s="16"/>
      <c r="BH15" s="16"/>
      <c r="BI15" s="49">
        <f>SUM(BE15:BH15)</f>
        <v>0</v>
      </c>
      <c r="BL15" s="16"/>
      <c r="BM15" s="16"/>
      <c r="BN15" s="16"/>
      <c r="BO15" s="49">
        <f>SUM(BK15:BN15)</f>
        <v>0</v>
      </c>
      <c r="BR15" s="16"/>
      <c r="BS15" s="16"/>
      <c r="BT15" s="16"/>
      <c r="BU15" s="49">
        <f>SUM(BQ15:BT15)</f>
        <v>0</v>
      </c>
    </row>
    <row r="16" spans="1:73">
      <c r="A16" s="15" t="s">
        <v>67</v>
      </c>
      <c r="G16" s="49"/>
      <c r="M16" s="49"/>
      <c r="O16" s="15">
        <v>4.8322147651006713</v>
      </c>
      <c r="P16" s="15">
        <v>0</v>
      </c>
      <c r="Q16" s="15">
        <v>0</v>
      </c>
      <c r="R16" s="15">
        <v>0</v>
      </c>
      <c r="S16" s="49">
        <f>SUM(O16:R16)</f>
        <v>4.8322147651006713</v>
      </c>
      <c r="U16" s="15">
        <v>3.4899328859060401</v>
      </c>
      <c r="V16" s="15">
        <v>0</v>
      </c>
      <c r="W16" s="15">
        <v>0</v>
      </c>
      <c r="X16" s="16">
        <v>0</v>
      </c>
      <c r="Y16" s="49">
        <f>SUM(U16:X16)</f>
        <v>3.4899328859060401</v>
      </c>
      <c r="AA16" s="15">
        <v>0</v>
      </c>
      <c r="AB16" s="17">
        <v>0</v>
      </c>
      <c r="AC16" s="16">
        <v>0</v>
      </c>
      <c r="AD16" s="16">
        <v>0</v>
      </c>
      <c r="AE16" s="49">
        <f>SUM(AA16:AD16)</f>
        <v>0</v>
      </c>
      <c r="AG16" s="15">
        <v>0</v>
      </c>
      <c r="AH16" s="16">
        <v>10.335570469798657</v>
      </c>
      <c r="AI16" s="16">
        <v>0</v>
      </c>
      <c r="AJ16" s="16">
        <v>0</v>
      </c>
      <c r="AK16" s="49">
        <f>SUM(AG16:AJ16)</f>
        <v>10.335570469798657</v>
      </c>
      <c r="AM16" s="15">
        <v>0</v>
      </c>
      <c r="AN16" s="16">
        <v>0</v>
      </c>
      <c r="AO16" s="16">
        <v>0</v>
      </c>
      <c r="AP16" s="16">
        <v>0</v>
      </c>
      <c r="AQ16" s="4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49">
        <f>SUM(AS16:AV16)</f>
        <v>0</v>
      </c>
      <c r="AZ16" s="16"/>
      <c r="BA16" s="16"/>
      <c r="BB16" s="16"/>
      <c r="BC16" s="49">
        <f>SUM(AY16:BB16)</f>
        <v>0</v>
      </c>
      <c r="BF16" s="16"/>
      <c r="BG16" s="16"/>
      <c r="BH16" s="16"/>
      <c r="BI16" s="49">
        <f>SUM(BE16:BH16)</f>
        <v>0</v>
      </c>
      <c r="BL16" s="16"/>
      <c r="BM16" s="16"/>
      <c r="BN16" s="16"/>
      <c r="BO16" s="49">
        <f>SUM(BK16:BN16)</f>
        <v>0</v>
      </c>
      <c r="BR16" s="16"/>
      <c r="BS16" s="16"/>
      <c r="BT16" s="16"/>
      <c r="BU16" s="49">
        <f>SUM(BQ16:BT16)</f>
        <v>0</v>
      </c>
    </row>
    <row r="17" spans="1:73" s="140" customFormat="1" ht="12.75" customHeight="1">
      <c r="A17" s="15" t="s">
        <v>155</v>
      </c>
      <c r="B17" s="15"/>
      <c r="C17" s="153">
        <v>-1.6107382550335569</v>
      </c>
      <c r="D17" s="153">
        <v>-1.6107382550335569</v>
      </c>
      <c r="E17" s="153">
        <v>-1.8791946308724832</v>
      </c>
      <c r="F17" s="153">
        <v>-4.1610738255033555</v>
      </c>
      <c r="G17" s="49">
        <f>SUM(C17:F17)</f>
        <v>-9.2617449664429525</v>
      </c>
      <c r="H17" s="15"/>
      <c r="I17" s="153">
        <v>-5.1006711409395971</v>
      </c>
      <c r="J17" s="153">
        <v>-2.8187919463087248</v>
      </c>
      <c r="K17" s="153">
        <v>-3.4899328859060401</v>
      </c>
      <c r="L17" s="153">
        <v>-1.2080536912751678</v>
      </c>
      <c r="M17" s="49">
        <f>SUM(I17:L17)</f>
        <v>-12.617449664429531</v>
      </c>
      <c r="N17" s="15"/>
      <c r="O17" s="153">
        <v>-3.087248322147651</v>
      </c>
      <c r="P17" s="153">
        <v>-6.8456375838926169</v>
      </c>
      <c r="Q17" s="153">
        <v>-3.6241610738255035</v>
      </c>
      <c r="R17" s="153">
        <v>-6.174496644295302</v>
      </c>
      <c r="S17" s="49">
        <f>SUM(O17:R17)</f>
        <v>-19.731543624161073</v>
      </c>
      <c r="T17" s="15"/>
      <c r="U17" s="153">
        <v>-6.8456375838926169</v>
      </c>
      <c r="V17" s="153">
        <v>-4.8322147651006713</v>
      </c>
      <c r="W17" s="179">
        <v>-2.1476510067114094</v>
      </c>
      <c r="X17" s="179">
        <v>-5.9060402684563753</v>
      </c>
      <c r="Y17" s="49">
        <f>SUM(U17:X17)</f>
        <v>-19.731543624161073</v>
      </c>
      <c r="Z17" s="15"/>
      <c r="AA17" s="153">
        <v>-5.2348993288590604</v>
      </c>
      <c r="AB17" s="187">
        <v>-5.5033557046979862</v>
      </c>
      <c r="AC17" s="179">
        <v>-4.8322147651006713</v>
      </c>
      <c r="AD17" s="179">
        <v>-1.3422818791946309</v>
      </c>
      <c r="AE17" s="49">
        <f>SUM(AA17:AD17)</f>
        <v>-16.912751677852349</v>
      </c>
      <c r="AG17" s="153">
        <v>-3.4899328859060401</v>
      </c>
      <c r="AH17" s="179">
        <v>-5.2348993288590604</v>
      </c>
      <c r="AI17" s="179">
        <v>-3.4899328859060401</v>
      </c>
      <c r="AJ17" s="179">
        <v>-8.4563758389261743</v>
      </c>
      <c r="AK17" s="49">
        <f>SUM(AG17:AJ17)</f>
        <v>-20.671140939597315</v>
      </c>
      <c r="AM17" s="153">
        <v>-3.8926174496644292</v>
      </c>
      <c r="AN17" s="179">
        <v>-5.1006711409395971</v>
      </c>
      <c r="AO17" s="179">
        <v>-4.9664429530201337</v>
      </c>
      <c r="AP17" s="179">
        <v>-6.9798657718120802</v>
      </c>
      <c r="AQ17" s="49">
        <f>SUM(AM17:AP17)</f>
        <v>-20.939597315436238</v>
      </c>
      <c r="AS17" s="153">
        <v>-5.2348993288590604</v>
      </c>
      <c r="AT17" s="179">
        <v>-6.9798657718120802</v>
      </c>
      <c r="AU17" s="179">
        <v>-8.1879194630872476</v>
      </c>
      <c r="AV17" s="179">
        <v>-7.3825503355704694</v>
      </c>
      <c r="AW17" s="49">
        <f>SUM(AS17:AV17)</f>
        <v>-27.785234899328856</v>
      </c>
      <c r="AY17" s="153">
        <v>-6.9798657718120802</v>
      </c>
      <c r="AZ17" s="179">
        <v>-7.3825503355704694</v>
      </c>
      <c r="BA17" s="179">
        <v>-5.9060402684563753</v>
      </c>
      <c r="BB17" s="179">
        <v>-9.7986577181208059</v>
      </c>
      <c r="BC17" s="49">
        <f>SUM(AY17:BB17)</f>
        <v>-30.067114093959731</v>
      </c>
      <c r="BE17" s="153">
        <v>-5.9060402684563753</v>
      </c>
      <c r="BF17" s="179">
        <v>-8.1879194630872476</v>
      </c>
      <c r="BG17" s="179">
        <v>-7.2483221476510069</v>
      </c>
      <c r="BH17" s="179">
        <v>-8.3221476510067109</v>
      </c>
      <c r="BI17" s="49">
        <f>SUM(BE17:BH17)</f>
        <v>-29.664429530201339</v>
      </c>
      <c r="BK17" s="153">
        <v>-7.3825503355704694</v>
      </c>
      <c r="BL17" s="179">
        <v>-6.4429530201342278</v>
      </c>
      <c r="BM17" s="179">
        <v>-6.7114093959731544</v>
      </c>
      <c r="BN17" s="179">
        <v>-9.1999999999999993</v>
      </c>
      <c r="BO17" s="49">
        <f>SUM(BK17:BN17)</f>
        <v>-29.736912751677853</v>
      </c>
      <c r="BQ17" s="153">
        <v>-7</v>
      </c>
      <c r="BR17" s="179">
        <v>-10.9</v>
      </c>
      <c r="BS17" s="179"/>
      <c r="BT17" s="179"/>
      <c r="BU17" s="49">
        <f>SUM(BQ17:BT17)</f>
        <v>-17.899999999999999</v>
      </c>
    </row>
    <row r="18" spans="1:73" s="183" customFormat="1">
      <c r="A18" s="180" t="s">
        <v>199</v>
      </c>
      <c r="B18" s="180"/>
      <c r="C18" s="180">
        <f>SUM(C13:C17)</f>
        <v>3.2214765100671143</v>
      </c>
      <c r="D18" s="180">
        <f>SUM(D13:D17)</f>
        <v>-3.624161073825503</v>
      </c>
      <c r="E18" s="180">
        <f>SUM(E13:E17)</f>
        <v>-9.3959731543624159</v>
      </c>
      <c r="F18" s="180">
        <f>SUM(F13:F17)</f>
        <v>-5.9060402684563753</v>
      </c>
      <c r="G18" s="181">
        <f>SUM(G13:G17)</f>
        <v>-15.70469798657718</v>
      </c>
      <c r="H18" s="180"/>
      <c r="I18" s="180">
        <f>SUM(I13:I17)</f>
        <v>-15.436241610738254</v>
      </c>
      <c r="J18" s="180">
        <f>SUM(J13:J17)</f>
        <v>20.805369127516776</v>
      </c>
      <c r="K18" s="180">
        <f>SUM(K13:K17)</f>
        <v>-17.449664429530202</v>
      </c>
      <c r="L18" s="180">
        <f>SUM(L13:L17)</f>
        <v>-14.093959731543624</v>
      </c>
      <c r="M18" s="181">
        <f>SUM(M13:M17)</f>
        <v>-26.174496644295303</v>
      </c>
      <c r="N18" s="180"/>
      <c r="O18" s="180">
        <f>SUM(O13:O17)</f>
        <v>-138.12080536912751</v>
      </c>
      <c r="P18" s="180">
        <f>SUM(P13:P17)</f>
        <v>-32.080536912751676</v>
      </c>
      <c r="Q18" s="180">
        <f>SUM(Q13:Q17)</f>
        <v>-54.765100671140942</v>
      </c>
      <c r="R18" s="180">
        <f>SUM(R13:R17)</f>
        <v>-29.395973154362416</v>
      </c>
      <c r="S18" s="181">
        <f>SUM(S13:S17)</f>
        <v>-254.36241610738253</v>
      </c>
      <c r="T18" s="180"/>
      <c r="U18" s="180">
        <f>SUM(U13:U17)</f>
        <v>8.724832214765101</v>
      </c>
      <c r="V18" s="180">
        <f>SUM(V13:V17)</f>
        <v>-38.120805369127517</v>
      </c>
      <c r="W18" s="180">
        <f>SUM(W13:W17)</f>
        <v>-28.053691275167782</v>
      </c>
      <c r="X18" s="182">
        <f>SUM(X13:X17)</f>
        <v>-46.711409395973149</v>
      </c>
      <c r="Y18" s="181">
        <f>SUM(Y13:Y17)</f>
        <v>-104.16107382550335</v>
      </c>
      <c r="Z18" s="180"/>
      <c r="AA18" s="180">
        <f>SUM(AA13:AA17)</f>
        <v>-27.516778523489933</v>
      </c>
      <c r="AB18" s="180">
        <f>SUM(AB13:AB17)</f>
        <v>-39.731543624161077</v>
      </c>
      <c r="AC18" s="182">
        <f>SUM(AC13:AC17)</f>
        <v>-37.986577181208055</v>
      </c>
      <c r="AD18" s="182">
        <f>SUM(AD13:AD17)</f>
        <v>-32.751677852348998</v>
      </c>
      <c r="AE18" s="181">
        <f>SUM(AE13:AE17)</f>
        <v>-137.98657718120805</v>
      </c>
      <c r="AG18" s="180">
        <f>SUM(AG13:AG17)</f>
        <v>-43.087248322147651</v>
      </c>
      <c r="AH18" s="182">
        <f>SUM(AH13:AH17)</f>
        <v>-18.389261744966444</v>
      </c>
      <c r="AI18" s="182">
        <f>SUM(AI13:AI17)</f>
        <v>-21.879194630872483</v>
      </c>
      <c r="AJ18" s="182">
        <f>SUM(AJ13:AJ17)</f>
        <v>-30.604026845637584</v>
      </c>
      <c r="AK18" s="181">
        <f>SUM(AK13:AK17)</f>
        <v>-113.95973154362417</v>
      </c>
      <c r="AM18" s="180">
        <f>SUM(AM13:AM17)</f>
        <v>-31.140939597315434</v>
      </c>
      <c r="AN18" s="182">
        <f>SUM(AN13:AN17)</f>
        <v>-25.234899328859058</v>
      </c>
      <c r="AO18" s="182">
        <f>SUM(AO13:AO17)</f>
        <v>-26.174496644295303</v>
      </c>
      <c r="AP18" s="182">
        <f>SUM(AP13:AP17)</f>
        <v>-25.771812080536911</v>
      </c>
      <c r="AQ18" s="181">
        <f>SUM(AQ13:AQ17)</f>
        <v>-108.3221476510067</v>
      </c>
      <c r="AS18" s="180">
        <f>SUM(AS13:AS17)</f>
        <v>-17.986577181208052</v>
      </c>
      <c r="AT18" s="182">
        <f>SUM(AT13:AT17)</f>
        <v>-15.973154362416107</v>
      </c>
      <c r="AU18" s="182">
        <f>SUM(AU13:AU17)</f>
        <v>-15.70469798657718</v>
      </c>
      <c r="AV18" s="182">
        <f>SUM(AV13:AV17)</f>
        <v>-21.744966442953018</v>
      </c>
      <c r="AW18" s="181">
        <f>SUM(AW13:AW17)</f>
        <v>-71.409395973154361</v>
      </c>
      <c r="AY18" s="180">
        <f>SUM(AY13:AY17)</f>
        <v>-15.167785234899327</v>
      </c>
      <c r="AZ18" s="180">
        <f>SUM(AZ13:AZ17)</f>
        <v>-15.033557046979865</v>
      </c>
      <c r="BA18" s="180">
        <f>SUM(BA13:BA17)</f>
        <v>-43.758389261744966</v>
      </c>
      <c r="BB18" s="180">
        <f>SUM(BB13:BB17)</f>
        <v>-19.194630872483224</v>
      </c>
      <c r="BC18" s="181">
        <f>SUM(BC13:BC17)</f>
        <v>-93.154362416107375</v>
      </c>
      <c r="BE18" s="180">
        <f>SUM(BE13:BE17)</f>
        <v>-1.6107382550335574</v>
      </c>
      <c r="BF18" s="180">
        <f>SUM(BF13:BF17)</f>
        <v>-14.765100671140939</v>
      </c>
      <c r="BG18" s="180">
        <f>SUM(BG13:BG17)</f>
        <v>-16.644295302013422</v>
      </c>
      <c r="BH18" s="180">
        <f>SUM(BH13:BH17)</f>
        <v>-17.449664429530202</v>
      </c>
      <c r="BI18" s="181">
        <f>SUM(BI13:BI17)</f>
        <v>-50.469798657718115</v>
      </c>
      <c r="BK18" s="180">
        <f>SUM(BK13:BK17)</f>
        <v>-12.483221476510067</v>
      </c>
      <c r="BL18" s="180">
        <f>SUM(BL13:BL17)</f>
        <v>-29.798657718120801</v>
      </c>
      <c r="BM18" s="180">
        <f>SUM(BM13:BM17)</f>
        <v>-12.751677852348994</v>
      </c>
      <c r="BN18" s="180">
        <f>SUM(BN13:BN17)</f>
        <v>-34.900000000000006</v>
      </c>
      <c r="BO18" s="181">
        <f>SUM(BO13:BO17)</f>
        <v>-89.933557046979871</v>
      </c>
      <c r="BQ18" s="180">
        <f>SUM(BQ13:BQ17)</f>
        <v>-70.400000000000006</v>
      </c>
      <c r="BR18" s="180">
        <f>SUM(BR13:BR17)</f>
        <v>-17.5</v>
      </c>
      <c r="BS18" s="180"/>
      <c r="BT18" s="180"/>
      <c r="BU18" s="181">
        <f>SUM(BU13:BU17)</f>
        <v>-87.9</v>
      </c>
    </row>
    <row r="19" spans="1:73" s="188" customFormat="1" ht="18.75" customHeight="1">
      <c r="A19" s="184"/>
      <c r="B19" s="184"/>
      <c r="C19" s="184"/>
      <c r="D19" s="184"/>
      <c r="E19" s="184"/>
      <c r="F19" s="184"/>
      <c r="G19" s="185"/>
      <c r="H19" s="184"/>
      <c r="I19" s="184"/>
      <c r="J19" s="184"/>
      <c r="K19" s="184"/>
      <c r="L19" s="184"/>
      <c r="M19" s="185"/>
      <c r="N19" s="184"/>
      <c r="O19" s="184"/>
      <c r="P19" s="184"/>
      <c r="Q19" s="184"/>
      <c r="R19" s="184"/>
      <c r="S19" s="185"/>
      <c r="T19" s="184"/>
      <c r="U19" s="184"/>
      <c r="V19" s="184"/>
      <c r="W19" s="184"/>
      <c r="X19" s="186"/>
      <c r="Y19" s="185"/>
      <c r="Z19" s="184"/>
      <c r="AA19" s="184"/>
      <c r="AB19" s="184"/>
      <c r="AC19" s="186"/>
      <c r="AD19" s="186"/>
      <c r="AE19" s="185"/>
      <c r="AG19" s="184"/>
      <c r="AH19" s="186"/>
      <c r="AI19" s="186"/>
      <c r="AJ19" s="186"/>
      <c r="AK19" s="185"/>
      <c r="AM19" s="184"/>
      <c r="AN19" s="186"/>
      <c r="AO19" s="186"/>
      <c r="AP19" s="186"/>
      <c r="AQ19" s="185"/>
      <c r="AS19" s="184"/>
      <c r="AT19" s="186"/>
      <c r="AU19" s="186"/>
      <c r="AV19" s="186"/>
      <c r="AW19" s="185"/>
      <c r="AY19" s="184"/>
      <c r="AZ19" s="186"/>
      <c r="BA19" s="186"/>
      <c r="BB19" s="186"/>
      <c r="BC19" s="185"/>
      <c r="BE19" s="184"/>
      <c r="BF19" s="186"/>
      <c r="BG19" s="186"/>
      <c r="BH19" s="186"/>
      <c r="BI19" s="185"/>
      <c r="BK19" s="184"/>
      <c r="BL19" s="186"/>
      <c r="BM19" s="186"/>
      <c r="BN19" s="186"/>
      <c r="BO19" s="185"/>
      <c r="BQ19" s="184"/>
      <c r="BR19" s="186"/>
      <c r="BS19" s="186"/>
      <c r="BT19" s="186"/>
      <c r="BU19" s="185"/>
    </row>
    <row r="20" spans="1:73">
      <c r="A20" s="140" t="s">
        <v>200</v>
      </c>
      <c r="B20" s="140"/>
      <c r="C20" s="140">
        <f>C11+C18</f>
        <v>-22.013422818791945</v>
      </c>
      <c r="D20" s="140">
        <f>D11+D18</f>
        <v>-0.93959731543623981</v>
      </c>
      <c r="E20" s="140">
        <f>E11+E18</f>
        <v>-2.0134228187919447</v>
      </c>
      <c r="F20" s="140">
        <f>F11+F18</f>
        <v>14.765100671140939</v>
      </c>
      <c r="G20" s="49">
        <f>G11+G18</f>
        <v>-10.201342281879199</v>
      </c>
      <c r="H20" s="140"/>
      <c r="I20" s="140">
        <f>I11+I18</f>
        <v>-44.429530201342281</v>
      </c>
      <c r="J20" s="140">
        <f>J11+J18</f>
        <v>31.409395973154361</v>
      </c>
      <c r="K20" s="140">
        <f>K11+K18</f>
        <v>7.5167785234899327</v>
      </c>
      <c r="L20" s="140">
        <f>L11+L18</f>
        <v>14.8993288590604</v>
      </c>
      <c r="M20" s="49">
        <f>M11+M18</f>
        <v>9.395973154362423</v>
      </c>
      <c r="N20" s="140"/>
      <c r="O20" s="140">
        <f>O11+O18</f>
        <v>-131.40939597315435</v>
      </c>
      <c r="P20" s="140">
        <f>P11+P18</f>
        <v>-13.288590604026844</v>
      </c>
      <c r="Q20" s="140">
        <f>Q11+Q18</f>
        <v>2.2818791946308679</v>
      </c>
      <c r="R20" s="140">
        <f>R11+R18</f>
        <v>44.026845637583897</v>
      </c>
      <c r="S20" s="49">
        <f>S11+S18</f>
        <v>-98.389261744966433</v>
      </c>
      <c r="T20" s="140"/>
      <c r="U20" s="140">
        <f>U11+U18</f>
        <v>-24.832214765100673</v>
      </c>
      <c r="V20" s="140">
        <f>V11+V18</f>
        <v>-41.208053691275168</v>
      </c>
      <c r="W20" s="140">
        <f>W11+W18</f>
        <v>-4.0268456375838895</v>
      </c>
      <c r="X20" s="135">
        <f>X11+X18</f>
        <v>68.322147651006716</v>
      </c>
      <c r="Y20" s="49">
        <f>Y11+Y18</f>
        <v>-1.7449664429530003</v>
      </c>
      <c r="Z20" s="140"/>
      <c r="AA20" s="140">
        <f>AA11+AA18</f>
        <v>-5.060402684563762</v>
      </c>
      <c r="AB20" s="140">
        <f>AB11+AB18</f>
        <v>-36.912751677852349</v>
      </c>
      <c r="AC20" s="135">
        <f>AC11+AC18</f>
        <v>-10.738255033557049</v>
      </c>
      <c r="AD20" s="135">
        <f>AD11+AD18</f>
        <v>-7.114093959731548</v>
      </c>
      <c r="AE20" s="49">
        <f>AE11+AE18</f>
        <v>-59.825503355704683</v>
      </c>
      <c r="AG20" s="140">
        <f>AG11+AG18</f>
        <v>-72.75167785234899</v>
      </c>
      <c r="AH20" s="135">
        <f>AH11+AH18</f>
        <v>-53.691275167785236</v>
      </c>
      <c r="AI20" s="135">
        <f>AI11+AI18</f>
        <v>-42.013422818791945</v>
      </c>
      <c r="AJ20" s="135">
        <f>AJ11+AJ18</f>
        <v>4.2953020134228197</v>
      </c>
      <c r="AK20" s="49">
        <f>AK11+AK18</f>
        <v>-164.16107382550334</v>
      </c>
      <c r="AM20" s="140">
        <f>AM11+AM18</f>
        <v>-91.946308724832207</v>
      </c>
      <c r="AN20" s="135">
        <f>AN11+AN18</f>
        <v>-15.570469798657715</v>
      </c>
      <c r="AO20" s="135">
        <f>AO11+AO18</f>
        <v>27.382550335570471</v>
      </c>
      <c r="AP20" s="135">
        <f>AP11+AP18</f>
        <v>46.711409395973156</v>
      </c>
      <c r="AQ20" s="49">
        <f>AQ11+AQ18</f>
        <v>-33.422818791946284</v>
      </c>
      <c r="AS20" s="140">
        <f>AS11+AS18</f>
        <v>-14.362416107382547</v>
      </c>
      <c r="AT20" s="135">
        <f>AT11+AT18</f>
        <v>-7.1140939597315427</v>
      </c>
      <c r="AU20" s="135">
        <f>AU11+AU18</f>
        <v>-11.677852348993291</v>
      </c>
      <c r="AV20" s="135">
        <f>AV11+AV18</f>
        <v>112.34899328859062</v>
      </c>
      <c r="AW20" s="49">
        <f>AW11+AW18</f>
        <v>79.194630872483216</v>
      </c>
      <c r="AY20" s="140">
        <f>AY11+AY18</f>
        <v>-85.100671140939596</v>
      </c>
      <c r="AZ20" s="140">
        <f>AZ11+AZ18</f>
        <v>-16.375838926174495</v>
      </c>
      <c r="BA20" s="140">
        <f>BA11+BA18</f>
        <v>4.0268456375838895</v>
      </c>
      <c r="BB20" s="140">
        <f>BB11+BB18</f>
        <v>77.449664429530202</v>
      </c>
      <c r="BC20" s="49">
        <f>BC11+BC18</f>
        <v>-20</v>
      </c>
      <c r="BE20" s="140">
        <f>BE11+BE18</f>
        <v>25.100671140939596</v>
      </c>
      <c r="BF20" s="140">
        <f>BF11+BF18</f>
        <v>-0.13422818791946511</v>
      </c>
      <c r="BG20" s="140">
        <f>BG11+BG18</f>
        <v>0.67114093959731846</v>
      </c>
      <c r="BH20" s="140">
        <f>BH11+BH18</f>
        <v>136.37583892617451</v>
      </c>
      <c r="BI20" s="49">
        <f>BI11+BI18</f>
        <v>162.01342281879192</v>
      </c>
      <c r="BK20" s="140">
        <f>BK11+BK18</f>
        <v>0.26845637583892668</v>
      </c>
      <c r="BL20" s="140">
        <f>BL11+BL18</f>
        <v>-24.429530201342281</v>
      </c>
      <c r="BM20" s="140">
        <f>BM11+BM18</f>
        <v>22.953020134228186</v>
      </c>
      <c r="BN20" s="140">
        <f>BN11+BN18</f>
        <v>84.5</v>
      </c>
      <c r="BO20" s="49">
        <f>BO11+BO18</f>
        <v>83.291946308724846</v>
      </c>
      <c r="BQ20" s="140">
        <f>BQ11+BQ18</f>
        <v>-79.499000000000009</v>
      </c>
      <c r="BR20" s="140">
        <f>BR11+BR18</f>
        <v>11.2</v>
      </c>
      <c r="BS20" s="140"/>
      <c r="BT20" s="140"/>
      <c r="BU20" s="49">
        <f>BU11+BU18</f>
        <v>-68.299000000000007</v>
      </c>
    </row>
    <row r="21" spans="1:73">
      <c r="G21" s="49"/>
      <c r="M21" s="49"/>
      <c r="S21" s="49"/>
      <c r="X21" s="16"/>
      <c r="Y21" s="49"/>
      <c r="AC21" s="16"/>
      <c r="AD21" s="16"/>
      <c r="AE21" s="49"/>
      <c r="AH21" s="16"/>
      <c r="AI21" s="16"/>
      <c r="AJ21" s="16"/>
      <c r="AK21" s="49"/>
      <c r="AN21" s="16"/>
      <c r="AO21" s="16"/>
      <c r="AP21" s="16"/>
      <c r="AQ21" s="49"/>
      <c r="AT21" s="16"/>
      <c r="AU21" s="16"/>
      <c r="AV21" s="16"/>
      <c r="AW21" s="49"/>
      <c r="AZ21" s="16"/>
      <c r="BA21" s="16"/>
      <c r="BB21" s="16"/>
      <c r="BC21" s="49"/>
      <c r="BF21" s="16"/>
      <c r="BG21" s="16"/>
      <c r="BH21" s="16"/>
      <c r="BI21" s="49"/>
      <c r="BL21" s="16"/>
      <c r="BM21" s="16"/>
      <c r="BN21" s="16"/>
      <c r="BO21" s="49"/>
      <c r="BR21" s="16"/>
      <c r="BS21" s="16"/>
      <c r="BT21" s="16"/>
      <c r="BU21" s="49"/>
    </row>
    <row r="22" spans="1:73" ht="12.75" customHeight="1">
      <c r="A22" s="15" t="s">
        <v>27</v>
      </c>
      <c r="C22" s="15">
        <v>0</v>
      </c>
      <c r="D22" s="15">
        <v>-26.308724832214764</v>
      </c>
      <c r="E22" s="15">
        <v>0</v>
      </c>
      <c r="F22" s="15">
        <v>0</v>
      </c>
      <c r="G22" s="49">
        <f>SUM(C22:F22)</f>
        <v>-26.308724832214764</v>
      </c>
      <c r="J22" s="15">
        <v>-39.463087248322147</v>
      </c>
      <c r="K22" s="15">
        <v>0</v>
      </c>
      <c r="L22" s="15">
        <v>0</v>
      </c>
      <c r="M22" s="49">
        <f>SUM(I22:L22)</f>
        <v>-39.463087248322147</v>
      </c>
      <c r="O22" s="153">
        <v>0</v>
      </c>
      <c r="P22" s="153">
        <v>-31.677852348993287</v>
      </c>
      <c r="Q22" s="153">
        <v>0</v>
      </c>
      <c r="R22" s="153">
        <v>0</v>
      </c>
      <c r="S22" s="189">
        <f>SUM(O22:R22)</f>
        <v>-31.677852348993287</v>
      </c>
      <c r="T22" s="153"/>
      <c r="U22" s="153">
        <v>0</v>
      </c>
      <c r="V22" s="153">
        <v>-34.899328859060404</v>
      </c>
      <c r="W22" s="153">
        <v>0</v>
      </c>
      <c r="X22" s="179">
        <v>0</v>
      </c>
      <c r="Y22" s="189">
        <f>SUM(U22:X22)</f>
        <v>-34.899328859060404</v>
      </c>
      <c r="AA22" s="15">
        <v>0</v>
      </c>
      <c r="AB22" s="17">
        <v>0</v>
      </c>
      <c r="AC22" s="16">
        <v>0</v>
      </c>
      <c r="AD22" s="16">
        <v>0</v>
      </c>
      <c r="AE22" s="49">
        <f>SUM(AA22:AD22)</f>
        <v>0</v>
      </c>
      <c r="AG22" s="15">
        <v>-11.140939597315436</v>
      </c>
      <c r="AH22" s="16">
        <v>0</v>
      </c>
      <c r="AI22" s="16">
        <v>0</v>
      </c>
      <c r="AJ22" s="16">
        <v>0</v>
      </c>
      <c r="AK22" s="49">
        <f>SUM(AG22:AJ22)</f>
        <v>-11.140939597315436</v>
      </c>
      <c r="AM22" s="15">
        <v>-6.3087248322147653</v>
      </c>
      <c r="AN22" s="16">
        <v>0</v>
      </c>
      <c r="AO22" s="16">
        <v>0</v>
      </c>
      <c r="AP22" s="16">
        <v>0</v>
      </c>
      <c r="AQ22" s="49">
        <f>SUM(AM22:AP22)</f>
        <v>-6.3087248322147653</v>
      </c>
      <c r="AS22" s="15">
        <v>0</v>
      </c>
      <c r="AT22" s="16">
        <v>-6.4429530201342278</v>
      </c>
      <c r="AU22" s="16">
        <v>0</v>
      </c>
      <c r="AV22" s="16">
        <v>0</v>
      </c>
      <c r="AW22" s="49">
        <f>SUM(AS22:AV22)</f>
        <v>-6.4429530201342278</v>
      </c>
      <c r="AY22" s="15">
        <v>-25.63758389261745</v>
      </c>
      <c r="AZ22" s="16">
        <v>0</v>
      </c>
      <c r="BA22" s="16">
        <v>0</v>
      </c>
      <c r="BB22" s="16">
        <v>0</v>
      </c>
      <c r="BC22" s="49">
        <f>SUM(AY22:BB22)</f>
        <v>-25.63758389261745</v>
      </c>
      <c r="BE22" s="15">
        <v>-11.275167785234899</v>
      </c>
      <c r="BF22" s="16">
        <v>0</v>
      </c>
      <c r="BG22" s="16">
        <v>0</v>
      </c>
      <c r="BH22" s="16">
        <v>0</v>
      </c>
      <c r="BI22" s="49">
        <f>SUM(BE22:BH22)</f>
        <v>-11.275167785234899</v>
      </c>
      <c r="BK22" s="15">
        <v>-13.020134228187919</v>
      </c>
      <c r="BL22" s="16"/>
      <c r="BM22" s="16"/>
      <c r="BN22" s="16"/>
      <c r="BO22" s="49">
        <f>SUM(BK22:BN22)</f>
        <v>-13.020134228187919</v>
      </c>
      <c r="BR22" s="16">
        <v>-13</v>
      </c>
      <c r="BS22" s="16"/>
      <c r="BT22" s="16"/>
      <c r="BU22" s="49">
        <f>SUM(BQ22:BT22)</f>
        <v>-13</v>
      </c>
    </row>
    <row r="23" spans="1:73" ht="12.75" customHeight="1">
      <c r="A23" s="15" t="s">
        <v>114</v>
      </c>
      <c r="G23" s="49"/>
      <c r="M23" s="49"/>
      <c r="O23" s="153"/>
      <c r="P23" s="153"/>
      <c r="Q23" s="153"/>
      <c r="R23" s="153"/>
      <c r="S23" s="189"/>
      <c r="T23" s="153"/>
      <c r="U23" s="153"/>
      <c r="V23" s="153"/>
      <c r="W23" s="153"/>
      <c r="X23" s="179"/>
      <c r="Y23" s="189"/>
      <c r="AB23" s="17"/>
      <c r="AC23" s="16"/>
      <c r="AD23" s="16"/>
      <c r="AE23" s="49"/>
      <c r="AG23" s="15">
        <v>-0.53691275167785235</v>
      </c>
      <c r="AH23" s="16">
        <v>0</v>
      </c>
      <c r="AI23" s="16">
        <v>-2.6845637583892619</v>
      </c>
      <c r="AJ23" s="16">
        <v>0</v>
      </c>
      <c r="AK23" s="49">
        <f>SUM(AG23:AJ23)</f>
        <v>-3.2214765100671143</v>
      </c>
      <c r="AM23" s="15">
        <v>0</v>
      </c>
      <c r="AN23" s="16">
        <v>0</v>
      </c>
      <c r="AO23" s="16">
        <v>0</v>
      </c>
      <c r="AP23" s="16">
        <v>-0.13422818791946309</v>
      </c>
      <c r="AQ23" s="49">
        <f>SUM(AM23:AP23)</f>
        <v>-0.13422818791946309</v>
      </c>
      <c r="AS23" s="15">
        <v>-0.13422818791946309</v>
      </c>
      <c r="AT23" s="16">
        <v>-0.13422818791946309</v>
      </c>
      <c r="AU23" s="16">
        <v>0</v>
      </c>
      <c r="AV23" s="16">
        <v>0</v>
      </c>
      <c r="AW23" s="49">
        <f>SUM(AS23:AV23)</f>
        <v>-0.26845637583892618</v>
      </c>
      <c r="AY23" s="15">
        <v>0</v>
      </c>
      <c r="AZ23" s="16">
        <v>0</v>
      </c>
      <c r="BA23" s="16">
        <v>0</v>
      </c>
      <c r="BB23" s="16">
        <v>0</v>
      </c>
      <c r="BC23" s="49">
        <f>SUM(AY23:BB23)</f>
        <v>0</v>
      </c>
      <c r="BF23" s="16"/>
      <c r="BG23" s="16">
        <v>-0.13422818791946309</v>
      </c>
      <c r="BH23" s="16"/>
      <c r="BI23" s="49">
        <f>SUM(BE23:BH23)</f>
        <v>-0.13422818791946309</v>
      </c>
      <c r="BL23" s="16"/>
      <c r="BM23" s="16"/>
      <c r="BN23" s="16"/>
      <c r="BO23" s="49">
        <f>SUM(BK23:BN23)</f>
        <v>0</v>
      </c>
      <c r="BR23" s="16">
        <v>-3</v>
      </c>
      <c r="BS23" s="16"/>
      <c r="BT23" s="16"/>
      <c r="BU23" s="49">
        <f>SUM(BQ23:BT23)</f>
        <v>-3</v>
      </c>
    </row>
    <row r="24" spans="1:73" s="140" customFormat="1" ht="12.75" customHeight="1">
      <c r="A24" s="15" t="s">
        <v>218</v>
      </c>
      <c r="B24" s="15"/>
      <c r="C24" s="153">
        <v>-1.6107382550335569</v>
      </c>
      <c r="D24" s="153">
        <v>0</v>
      </c>
      <c r="E24" s="153">
        <v>-37.04697986577181</v>
      </c>
      <c r="F24" s="153">
        <v>-1.8791946308724832</v>
      </c>
      <c r="G24" s="189">
        <f>SUM(C24:F24)</f>
        <v>-40.536912751677853</v>
      </c>
      <c r="H24" s="15"/>
      <c r="I24" s="153">
        <v>-8.5906040268456376</v>
      </c>
      <c r="J24" s="153">
        <v>1.8791946308724832</v>
      </c>
      <c r="K24" s="153">
        <v>0</v>
      </c>
      <c r="L24" s="153">
        <v>0</v>
      </c>
      <c r="M24" s="189">
        <f>SUM(I24:L24)</f>
        <v>-6.7114093959731544</v>
      </c>
      <c r="N24" s="15"/>
      <c r="O24" s="153">
        <v>0.93959731543624159</v>
      </c>
      <c r="P24" s="153">
        <v>1.2080536912751678</v>
      </c>
      <c r="Q24" s="153">
        <v>-0.13422818791946309</v>
      </c>
      <c r="R24" s="153">
        <v>0</v>
      </c>
      <c r="S24" s="189">
        <f>SUM(O24:R24)</f>
        <v>2.0134228187919465</v>
      </c>
      <c r="T24" s="15"/>
      <c r="U24" s="153">
        <v>0.40268456375838924</v>
      </c>
      <c r="V24" s="153">
        <v>1.3422818791946309</v>
      </c>
      <c r="W24" s="153">
        <v>0</v>
      </c>
      <c r="X24" s="179">
        <v>0</v>
      </c>
      <c r="Y24" s="189">
        <f>SUM(U24:X24)</f>
        <v>1.7449664429530203</v>
      </c>
      <c r="Z24" s="15"/>
      <c r="AA24" s="153">
        <v>0</v>
      </c>
      <c r="AB24" s="153">
        <v>0</v>
      </c>
      <c r="AC24" s="153">
        <v>0</v>
      </c>
      <c r="AD24" s="179">
        <v>0</v>
      </c>
      <c r="AE24" s="189">
        <f>SUM(AA24:AD24)</f>
        <v>0</v>
      </c>
      <c r="AG24" s="153">
        <v>0.13422818791946309</v>
      </c>
      <c r="AH24" s="179">
        <v>0.40268456375838924</v>
      </c>
      <c r="AI24" s="153">
        <v>0</v>
      </c>
      <c r="AJ24" s="179">
        <v>0</v>
      </c>
      <c r="AK24" s="189">
        <f>SUM(AG24:AJ24)</f>
        <v>0.53691275167785235</v>
      </c>
      <c r="AM24" s="153">
        <v>0</v>
      </c>
      <c r="AN24" s="179">
        <v>0</v>
      </c>
      <c r="AO24" s="153">
        <v>0</v>
      </c>
      <c r="AP24" s="179">
        <v>0</v>
      </c>
      <c r="AQ24" s="189">
        <f>SUM(AM24:AP24)</f>
        <v>0</v>
      </c>
      <c r="AS24" s="153">
        <v>2.9530201342281877</v>
      </c>
      <c r="AT24" s="179">
        <v>0</v>
      </c>
      <c r="AU24" s="153">
        <v>0</v>
      </c>
      <c r="AV24" s="179">
        <v>0.13422818791946309</v>
      </c>
      <c r="AW24" s="189">
        <f>SUM(AS24:AV24)</f>
        <v>3.0872483221476505</v>
      </c>
      <c r="AY24" s="153">
        <v>0.93959731543624159</v>
      </c>
      <c r="AZ24" s="179">
        <v>0</v>
      </c>
      <c r="BA24" s="153">
        <v>0</v>
      </c>
      <c r="BB24" s="179">
        <v>0</v>
      </c>
      <c r="BC24" s="189">
        <f>SUM(AY24:BB24)</f>
        <v>0.93959731543624159</v>
      </c>
      <c r="BE24" s="153">
        <v>0.13422818791946309</v>
      </c>
      <c r="BF24" s="179"/>
      <c r="BG24" s="153"/>
      <c r="BH24" s="179"/>
      <c r="BI24" s="189">
        <f>SUM(BE24:BH24)</f>
        <v>0.13422818791946309</v>
      </c>
      <c r="BK24" s="153">
        <v>11.409395973154362</v>
      </c>
      <c r="BL24" s="179"/>
      <c r="BM24" s="153"/>
      <c r="BN24" s="179">
        <v>-0.1</v>
      </c>
      <c r="BO24" s="189">
        <f>SUM(BK24:BN24)</f>
        <v>11.309395973154363</v>
      </c>
      <c r="BQ24" s="153">
        <f>-4.7+6.3</f>
        <v>1.5999999999999996</v>
      </c>
      <c r="BR24" s="179">
        <v>-20.100000000000001</v>
      </c>
      <c r="BS24" s="153"/>
      <c r="BT24" s="179"/>
      <c r="BU24" s="189">
        <f>SUM(BQ24:BT24)</f>
        <v>-18.5</v>
      </c>
    </row>
    <row r="25" spans="1:73" s="183" customFormat="1">
      <c r="A25" s="180" t="s">
        <v>28</v>
      </c>
      <c r="B25" s="180"/>
      <c r="C25" s="180">
        <f>SUM(C20:C24)</f>
        <v>-23.624161073825501</v>
      </c>
      <c r="D25" s="180">
        <f>SUM(D20:D24)</f>
        <v>-27.248322147651002</v>
      </c>
      <c r="E25" s="180">
        <f>SUM(E20:E24)</f>
        <v>-39.060402684563755</v>
      </c>
      <c r="F25" s="180">
        <f>SUM(F20:F24)</f>
        <v>12.885906040268456</v>
      </c>
      <c r="G25" s="181">
        <f>SUM(G20:G24)</f>
        <v>-77.046979865771817</v>
      </c>
      <c r="H25" s="180"/>
      <c r="I25" s="180">
        <f>SUM(I20:I24)</f>
        <v>-53.020134228187921</v>
      </c>
      <c r="J25" s="180">
        <f>SUM(J20:J24)</f>
        <v>-6.1744966442953029</v>
      </c>
      <c r="K25" s="180">
        <f>SUM(K20:K24)</f>
        <v>7.5167785234899327</v>
      </c>
      <c r="L25" s="180">
        <f>SUM(L20:L24)</f>
        <v>14.8993288590604</v>
      </c>
      <c r="M25" s="181">
        <f>SUM(M20:M24)</f>
        <v>-36.77852348993288</v>
      </c>
      <c r="N25" s="180"/>
      <c r="O25" s="180">
        <f>SUM(O20:O24)</f>
        <v>-130.46979865771812</v>
      </c>
      <c r="P25" s="180">
        <f>SUM(P20:P24)</f>
        <v>-43.758389261744966</v>
      </c>
      <c r="Q25" s="180">
        <f>SUM(Q20:Q24)</f>
        <v>2.147651006711405</v>
      </c>
      <c r="R25" s="180">
        <f>SUM(R20:R24)</f>
        <v>44.026845637583897</v>
      </c>
      <c r="S25" s="181">
        <f>SUM(S20:S24)</f>
        <v>-128.05369127516778</v>
      </c>
      <c r="T25" s="180"/>
      <c r="U25" s="180">
        <f>SUM(U20:U24)</f>
        <v>-24.429530201342285</v>
      </c>
      <c r="V25" s="180">
        <f>SUM(V20:V24)</f>
        <v>-74.765100671140942</v>
      </c>
      <c r="W25" s="180">
        <f>SUM(W20:W24)</f>
        <v>-4.0268456375838895</v>
      </c>
      <c r="X25" s="182">
        <f>SUM(X20:X24)</f>
        <v>68.322147651006716</v>
      </c>
      <c r="Y25" s="181">
        <f>SUM(Y20:Y24)</f>
        <v>-34.899328859060383</v>
      </c>
      <c r="Z25" s="180"/>
      <c r="AA25" s="180">
        <f>SUM(AA20:AA24)</f>
        <v>-5.060402684563762</v>
      </c>
      <c r="AB25" s="180">
        <f>SUM(AB20:AB24)</f>
        <v>-36.912751677852349</v>
      </c>
      <c r="AC25" s="182">
        <f>SUM(AC20:AC24)</f>
        <v>-10.738255033557049</v>
      </c>
      <c r="AD25" s="182">
        <f>SUM(AD20:AD24)</f>
        <v>-7.114093959731548</v>
      </c>
      <c r="AE25" s="181">
        <f>SUM(AE20:AE24)</f>
        <v>-59.825503355704683</v>
      </c>
      <c r="AG25" s="180">
        <f>SUM(AG20:AG24)</f>
        <v>-84.295302013422813</v>
      </c>
      <c r="AH25" s="182">
        <f>SUM(AH20:AH24)</f>
        <v>-53.288590604026844</v>
      </c>
      <c r="AI25" s="182">
        <f>SUM(AI20:AI24)</f>
        <v>-44.697986577181204</v>
      </c>
      <c r="AJ25" s="182">
        <f>SUM(AJ20:AJ24)</f>
        <v>4.2953020134228197</v>
      </c>
      <c r="AK25" s="181">
        <f>SUM(AK20:AK24)</f>
        <v>-177.98657718120802</v>
      </c>
      <c r="AM25" s="180">
        <f>SUM(AM20:AM24)</f>
        <v>-98.255033557046971</v>
      </c>
      <c r="AN25" s="182">
        <f>SUM(AN20:AN24)</f>
        <v>-15.570469798657715</v>
      </c>
      <c r="AO25" s="182">
        <f>SUM(AO20:AO24)</f>
        <v>27.382550335570471</v>
      </c>
      <c r="AP25" s="182">
        <f>SUM(AP20:AP24)</f>
        <v>46.577181208053695</v>
      </c>
      <c r="AQ25" s="181">
        <f>SUM(AQ20:AQ24)</f>
        <v>-39.86577181208051</v>
      </c>
      <c r="AS25" s="180">
        <f>SUM(AS20:AS24)</f>
        <v>-11.543624161073822</v>
      </c>
      <c r="AT25" s="182">
        <f>SUM(AT20:AT24)</f>
        <v>-13.691275167785234</v>
      </c>
      <c r="AU25" s="182">
        <f>SUM(AU20:AU24)</f>
        <v>-11.677852348993291</v>
      </c>
      <c r="AV25" s="182">
        <f>SUM(AV20:AV24)</f>
        <v>112.48322147651008</v>
      </c>
      <c r="AW25" s="181">
        <f>SUM(AW20:AW24)</f>
        <v>75.570469798657712</v>
      </c>
      <c r="AY25" s="180">
        <f>SUM(AY20:AY24)</f>
        <v>-109.79865771812079</v>
      </c>
      <c r="AZ25" s="180">
        <f>SUM(AZ20:AZ24)</f>
        <v>-16.375838926174495</v>
      </c>
      <c r="BA25" s="180">
        <f>SUM(BA20:BA24)</f>
        <v>4.0268456375838895</v>
      </c>
      <c r="BB25" s="180">
        <f>SUM(BB20:BB24)</f>
        <v>77.449664429530202</v>
      </c>
      <c r="BC25" s="181">
        <f>SUM(BC20:BC24)</f>
        <v>-44.697986577181211</v>
      </c>
      <c r="BE25" s="180">
        <f>SUM(BE20:BE24)</f>
        <v>13.95973154362416</v>
      </c>
      <c r="BF25" s="180">
        <f>SUM(BF20:BF24)</f>
        <v>-0.13422818791946511</v>
      </c>
      <c r="BG25" s="180">
        <f>SUM(BG20:BG24)</f>
        <v>0.53691275167785535</v>
      </c>
      <c r="BH25" s="180">
        <f>SUM(BH20:BH24)</f>
        <v>136.37583892617451</v>
      </c>
      <c r="BI25" s="181">
        <f>SUM(BI20:BI24)</f>
        <v>150.73825503355704</v>
      </c>
      <c r="BK25" s="180">
        <f>SUM(BK20:BK24)</f>
        <v>-1.3422818791946298</v>
      </c>
      <c r="BL25" s="180">
        <f>SUM(BL20:BL24)</f>
        <v>-24.429530201342281</v>
      </c>
      <c r="BM25" s="180">
        <f>SUM(BM20:BM24)</f>
        <v>22.953020134228186</v>
      </c>
      <c r="BN25" s="180">
        <f>SUM(BN20:BN24)</f>
        <v>84.4</v>
      </c>
      <c r="BO25" s="181">
        <f>SUM(BO20:BO24)</f>
        <v>81.581208053691299</v>
      </c>
      <c r="BQ25" s="180">
        <f>SUM(BQ20:BQ24)</f>
        <v>-77.899000000000015</v>
      </c>
      <c r="BR25" s="180">
        <f>SUM(BR20:BR24)</f>
        <v>-24.900000000000002</v>
      </c>
      <c r="BS25" s="180"/>
      <c r="BT25" s="180"/>
      <c r="BU25" s="181">
        <f>SUM(BU20:BU24)</f>
        <v>-102.79900000000001</v>
      </c>
    </row>
    <row r="26" spans="1:73" s="184" customFormat="1">
      <c r="G26" s="185"/>
      <c r="M26" s="185"/>
      <c r="S26" s="185"/>
      <c r="X26" s="186"/>
      <c r="Y26" s="185"/>
      <c r="AC26" s="186"/>
      <c r="AD26" s="186"/>
      <c r="AE26" s="185"/>
      <c r="AH26" s="186"/>
      <c r="AI26" s="186"/>
      <c r="AJ26" s="186"/>
      <c r="AK26" s="185"/>
      <c r="AN26" s="186"/>
      <c r="AO26" s="186"/>
      <c r="AP26" s="186"/>
      <c r="AQ26" s="185"/>
      <c r="AT26" s="186"/>
      <c r="AU26" s="186"/>
      <c r="AV26" s="186"/>
      <c r="AW26" s="185"/>
      <c r="AZ26" s="186"/>
      <c r="BA26" s="186"/>
      <c r="BB26" s="186"/>
      <c r="BC26" s="185"/>
      <c r="BF26" s="186"/>
      <c r="BG26" s="186"/>
      <c r="BH26" s="186"/>
      <c r="BI26" s="185"/>
      <c r="BL26" s="186"/>
      <c r="BM26" s="186"/>
      <c r="BN26" s="186"/>
      <c r="BO26" s="185"/>
      <c r="BR26" s="186"/>
      <c r="BS26" s="186"/>
      <c r="BT26" s="186"/>
      <c r="BU26" s="185"/>
    </row>
    <row r="27" spans="1:73">
      <c r="A27" s="15" t="s">
        <v>130</v>
      </c>
      <c r="G27" s="49"/>
      <c r="M27" s="49"/>
      <c r="S27" s="49"/>
      <c r="X27" s="16"/>
      <c r="Y27" s="49"/>
      <c r="AC27" s="16"/>
      <c r="AD27" s="16"/>
      <c r="AE27" s="49"/>
      <c r="AH27" s="16"/>
      <c r="AI27" s="16"/>
      <c r="AJ27" s="16"/>
      <c r="AK27" s="49"/>
      <c r="AN27" s="16"/>
      <c r="AO27" s="16"/>
      <c r="AP27" s="16"/>
      <c r="AQ27" s="49"/>
      <c r="AS27" s="15">
        <v>0</v>
      </c>
      <c r="AT27" s="16">
        <v>265.1006711409396</v>
      </c>
      <c r="AU27" s="16">
        <v>0</v>
      </c>
      <c r="AV27" s="16">
        <v>0.67114093959731547</v>
      </c>
      <c r="AW27" s="49">
        <f>SUM(AS27:AV27)</f>
        <v>265.7718120805369</v>
      </c>
      <c r="AZ27" s="16"/>
      <c r="BA27" s="16"/>
      <c r="BB27" s="16"/>
      <c r="BC27" s="49">
        <f>SUM(AY27:BB27)</f>
        <v>0</v>
      </c>
      <c r="BF27" s="16"/>
      <c r="BG27" s="16"/>
      <c r="BH27" s="16"/>
      <c r="BI27" s="49">
        <f>SUM(BE27:BH27)</f>
        <v>0</v>
      </c>
      <c r="BL27" s="16"/>
      <c r="BM27" s="16"/>
      <c r="BN27" s="16"/>
      <c r="BO27" s="49">
        <f>SUM(BK27:BN27)</f>
        <v>0</v>
      </c>
      <c r="BR27" s="16"/>
      <c r="BS27" s="16"/>
      <c r="BT27" s="16"/>
      <c r="BU27" s="49">
        <f>SUM(BQ27:BT27)</f>
        <v>0</v>
      </c>
    </row>
    <row r="28" spans="1:73">
      <c r="G28" s="49"/>
      <c r="M28" s="49"/>
      <c r="S28" s="49"/>
      <c r="X28" s="16"/>
      <c r="Y28" s="49"/>
      <c r="AC28" s="16"/>
      <c r="AD28" s="16"/>
      <c r="AE28" s="49"/>
      <c r="AH28" s="16"/>
      <c r="AI28" s="16"/>
      <c r="AJ28" s="16"/>
      <c r="AK28" s="49"/>
      <c r="AN28" s="16"/>
      <c r="AO28" s="16"/>
      <c r="AP28" s="16"/>
      <c r="AQ28" s="49"/>
      <c r="AT28" s="16"/>
      <c r="AU28" s="16"/>
      <c r="AV28" s="16"/>
      <c r="AW28" s="49"/>
      <c r="AZ28" s="16"/>
      <c r="BA28" s="16"/>
      <c r="BB28" s="16"/>
      <c r="BC28" s="49"/>
      <c r="BF28" s="16"/>
      <c r="BG28" s="16"/>
      <c r="BH28" s="16"/>
      <c r="BI28" s="49"/>
      <c r="BL28" s="16"/>
      <c r="BM28" s="16"/>
      <c r="BN28" s="16"/>
      <c r="BO28" s="49"/>
      <c r="BR28" s="16"/>
      <c r="BS28" s="16"/>
      <c r="BT28" s="16"/>
      <c r="BU28" s="49"/>
    </row>
    <row r="29" spans="1:73">
      <c r="A29" s="15" t="s">
        <v>202</v>
      </c>
      <c r="C29" s="15">
        <v>-19.463087248322147</v>
      </c>
      <c r="D29" s="15">
        <f>C31</f>
        <v>-45.234899328859051</v>
      </c>
      <c r="E29" s="15">
        <f>D31</f>
        <v>-75.033557046979851</v>
      </c>
      <c r="F29" s="15">
        <f>E31</f>
        <v>-115.16778523489931</v>
      </c>
      <c r="G29" s="49">
        <f>C29</f>
        <v>-19.463087248322147</v>
      </c>
      <c r="I29" s="15">
        <f>F31</f>
        <v>-102.55033557046978</v>
      </c>
      <c r="J29" s="15">
        <f>I31</f>
        <v>-157.85234899328859</v>
      </c>
      <c r="K29" s="15">
        <f>J31</f>
        <v>-163.89261744966444</v>
      </c>
      <c r="L29" s="15">
        <f>K31</f>
        <v>-156.77852348993289</v>
      </c>
      <c r="M29" s="49">
        <f>I29</f>
        <v>-102.55033557046978</v>
      </c>
      <c r="O29" s="15">
        <f>L31</f>
        <v>-137.31543624161074</v>
      </c>
      <c r="P29" s="15">
        <f>+O31</f>
        <v>-266.71140939597319</v>
      </c>
      <c r="Q29" s="15">
        <f>+P31</f>
        <v>-311.27516778523494</v>
      </c>
      <c r="R29" s="15">
        <f>+Q31</f>
        <v>-309.53020134228194</v>
      </c>
      <c r="S29" s="49">
        <f>O29</f>
        <v>-137.31543624161074</v>
      </c>
      <c r="U29" s="15">
        <f>+S31</f>
        <v>-267.78523489932883</v>
      </c>
      <c r="V29" s="15">
        <f>+U31</f>
        <v>-297.31543624161071</v>
      </c>
      <c r="W29" s="15">
        <f>+V31</f>
        <v>-379.19463087248317</v>
      </c>
      <c r="X29" s="16">
        <f>+W31</f>
        <v>-378.65771812080533</v>
      </c>
      <c r="Y29" s="49">
        <f>U29</f>
        <v>-267.78523489932883</v>
      </c>
      <c r="AA29" s="15">
        <f>+Y31</f>
        <v>-303.35570469798654</v>
      </c>
      <c r="AB29" s="15">
        <f>+AA31</f>
        <v>-306.40268456375838</v>
      </c>
      <c r="AC29" s="16">
        <f>AB31</f>
        <v>-347.20805369127515</v>
      </c>
      <c r="AD29" s="16">
        <f>AC31</f>
        <v>-359.82550335570465</v>
      </c>
      <c r="AE29" s="49">
        <f>AA29</f>
        <v>-303.35570469798654</v>
      </c>
      <c r="AG29" s="15">
        <f>+AE31</f>
        <v>-365.73154362416102</v>
      </c>
      <c r="AH29" s="16">
        <f>+AG31</f>
        <v>-455.53020134228183</v>
      </c>
      <c r="AI29" s="16">
        <f>+AH31</f>
        <v>-508.68456375838923</v>
      </c>
      <c r="AJ29" s="16">
        <f>+AI31</f>
        <v>-556.20134228187908</v>
      </c>
      <c r="AK29" s="49">
        <f>AG29</f>
        <v>-365.73154362416102</v>
      </c>
      <c r="AM29" s="15">
        <f>+AJ31</f>
        <v>-550.96644295302008</v>
      </c>
      <c r="AN29" s="16">
        <f>+AM31</f>
        <v>-647.07382550335569</v>
      </c>
      <c r="AO29" s="16">
        <f>+AN31</f>
        <v>-663.04697986577185</v>
      </c>
      <c r="AP29" s="16">
        <f>+AO31</f>
        <v>-640.3624161073825</v>
      </c>
      <c r="AQ29" s="49">
        <f>AM29</f>
        <v>-550.96644295302008</v>
      </c>
      <c r="AS29" s="15">
        <f>+AP31</f>
        <v>-594.45637583892608</v>
      </c>
      <c r="AT29" s="16">
        <f>+AS31</f>
        <v>-602.77852348993281</v>
      </c>
      <c r="AU29" s="16">
        <f>+AT31</f>
        <v>-361.30201342281873</v>
      </c>
      <c r="AV29" s="16">
        <f>+AU31</f>
        <v>-369.22147651006702</v>
      </c>
      <c r="AW29" s="49">
        <f>AS29</f>
        <v>-594.45637583892608</v>
      </c>
      <c r="AY29" s="15">
        <f>+AV31</f>
        <v>-256.20134228187908</v>
      </c>
      <c r="AZ29" s="16">
        <f>+AY31</f>
        <v>-372.57718120805356</v>
      </c>
      <c r="BA29" s="16">
        <f>+AZ31</f>
        <v>-381.03355704697969</v>
      </c>
      <c r="BB29" s="16">
        <f>+BA31</f>
        <v>-369.48993288590589</v>
      </c>
      <c r="BC29" s="49">
        <f>AY29</f>
        <v>-256.20134228187908</v>
      </c>
      <c r="BE29" s="15">
        <f>+BB31</f>
        <v>-283.31543624161054</v>
      </c>
      <c r="BF29" s="16">
        <f>+BE31</f>
        <v>-268.28187919463068</v>
      </c>
      <c r="BG29" s="16">
        <f>+BF31</f>
        <v>-269.48993288590583</v>
      </c>
      <c r="BH29" s="16">
        <f>+BG31</f>
        <v>-284.38926174496623</v>
      </c>
      <c r="BI29" s="49">
        <f>BE29</f>
        <v>-283.31543624161054</v>
      </c>
      <c r="BK29" s="15">
        <f>+BH31</f>
        <v>-152.30872483221455</v>
      </c>
      <c r="BL29" s="16">
        <f>+BK31</f>
        <v>-177.40939597315418</v>
      </c>
      <c r="BM29" s="16">
        <f>+BL31</f>
        <v>-192.97986577181189</v>
      </c>
      <c r="BN29" s="16">
        <f>+BM31</f>
        <v>-167.47651006711391</v>
      </c>
      <c r="BO29" s="49">
        <f>BK29</f>
        <v>-152.30872483221455</v>
      </c>
      <c r="BQ29" s="15">
        <f>+BN31</f>
        <v>-88.876510067113898</v>
      </c>
      <c r="BR29" s="16">
        <f>+BQ31</f>
        <v>-158.87551006711391</v>
      </c>
      <c r="BS29" s="16"/>
      <c r="BT29" s="16"/>
      <c r="BU29" s="49">
        <f>BQ29</f>
        <v>-88.876510067113898</v>
      </c>
    </row>
    <row r="30" spans="1:73" s="140" customFormat="1" ht="18.75" customHeight="1">
      <c r="A30" s="15" t="s">
        <v>201</v>
      </c>
      <c r="B30" s="15"/>
      <c r="C30" s="15">
        <v>-2.1476510067114094</v>
      </c>
      <c r="D30" s="15">
        <v>-2.5503355704697985</v>
      </c>
      <c r="E30" s="15">
        <v>-1.0738255033557047</v>
      </c>
      <c r="F30" s="15">
        <v>-0.26845637583892618</v>
      </c>
      <c r="G30" s="49">
        <f>SUM(C30:F30)</f>
        <v>-6.0402684563758386</v>
      </c>
      <c r="H30" s="15"/>
      <c r="I30" s="15">
        <v>-2.2818791946308723</v>
      </c>
      <c r="J30" s="15">
        <v>0.13422818791946309</v>
      </c>
      <c r="K30" s="15">
        <v>-0.40268456375838924</v>
      </c>
      <c r="L30" s="15">
        <v>4.5637583892617446</v>
      </c>
      <c r="M30" s="49">
        <f>SUM(I30:L30)</f>
        <v>2.0134228187919461</v>
      </c>
      <c r="N30" s="15"/>
      <c r="O30" s="15">
        <v>1.0738255033557047</v>
      </c>
      <c r="P30" s="15">
        <v>-0.80536912751677847</v>
      </c>
      <c r="Q30" s="15">
        <v>-0.40268456375838924</v>
      </c>
      <c r="R30" s="15">
        <v>-2.2818791946308723</v>
      </c>
      <c r="S30" s="49">
        <f>SUM(O30:R30)</f>
        <v>-2.4161073825503352</v>
      </c>
      <c r="T30" s="15"/>
      <c r="U30" s="15">
        <v>-5.1006711409395971</v>
      </c>
      <c r="V30" s="15">
        <v>-7.1140939597315436</v>
      </c>
      <c r="W30" s="15">
        <v>4.5637583892617446</v>
      </c>
      <c r="X30" s="16">
        <v>6.9798657718120802</v>
      </c>
      <c r="Y30" s="49">
        <f>SUM(U30:X30)</f>
        <v>-0.6711409395973158</v>
      </c>
      <c r="Z30" s="15"/>
      <c r="AA30" s="15">
        <v>2.0134228187919461</v>
      </c>
      <c r="AB30" s="17">
        <v>-3.8926174496644292</v>
      </c>
      <c r="AC30" s="16">
        <v>-1.8791946308724832</v>
      </c>
      <c r="AD30" s="16">
        <v>1.2080536912751678</v>
      </c>
      <c r="AE30" s="49">
        <f>SUM(AA30:AD30)</f>
        <v>-2.5503355704697985</v>
      </c>
      <c r="AG30" s="15">
        <v>-5.5033557046979862</v>
      </c>
      <c r="AH30" s="16">
        <v>0.13422818791946309</v>
      </c>
      <c r="AI30" s="16">
        <v>-2.8187919463087248</v>
      </c>
      <c r="AJ30" s="16">
        <v>0.93959731543624159</v>
      </c>
      <c r="AK30" s="49">
        <f>SUM(AG30:AJ30)</f>
        <v>-7.248322147651006</v>
      </c>
      <c r="AM30" s="15">
        <v>2.1476510067114094</v>
      </c>
      <c r="AN30" s="16">
        <v>-0.40268456375838924</v>
      </c>
      <c r="AO30" s="16">
        <v>-4.6979865771812079</v>
      </c>
      <c r="AP30" s="16">
        <v>-0.67114093959731547</v>
      </c>
      <c r="AQ30" s="49">
        <f>SUM(AM30:AP30)</f>
        <v>-3.624161073825503</v>
      </c>
      <c r="AS30" s="15">
        <v>3.2214765100671139</v>
      </c>
      <c r="AT30" s="16">
        <v>-9.9328859060402674</v>
      </c>
      <c r="AU30" s="16">
        <v>3.7583892617449663</v>
      </c>
      <c r="AV30" s="16">
        <v>-0.13422818791946309</v>
      </c>
      <c r="AW30" s="49">
        <f>SUM(AS30:AV30)</f>
        <v>-3.0872483221476501</v>
      </c>
      <c r="AY30" s="15">
        <v>-6.5771812080536911</v>
      </c>
      <c r="AZ30" s="16">
        <v>7.9194630872483218</v>
      </c>
      <c r="BA30" s="16">
        <v>7.5167785234899327</v>
      </c>
      <c r="BB30" s="16">
        <v>8.724832214765101</v>
      </c>
      <c r="BC30" s="49">
        <f>SUM(AY30:BB30)</f>
        <v>17.583892617449663</v>
      </c>
      <c r="BE30" s="15">
        <v>1.0738255033557047</v>
      </c>
      <c r="BF30" s="16">
        <v>-1.0738255033557047</v>
      </c>
      <c r="BG30" s="16">
        <v>-15.436241610738255</v>
      </c>
      <c r="BH30" s="16">
        <v>-4.2953020134228188</v>
      </c>
      <c r="BI30" s="49">
        <f>SUM(BE30:BH30)</f>
        <v>-19.731543624161073</v>
      </c>
      <c r="BK30" s="15">
        <v>-23.758389261744966</v>
      </c>
      <c r="BL30" s="16">
        <v>8.8590604026845643</v>
      </c>
      <c r="BM30" s="16">
        <v>2.5503355704697985</v>
      </c>
      <c r="BN30" s="16">
        <v>-5.8</v>
      </c>
      <c r="BO30" s="49">
        <f>SUM(BK30:BN30)</f>
        <v>-18.148993288590603</v>
      </c>
      <c r="BQ30" s="15">
        <v>7.9</v>
      </c>
      <c r="BR30" s="16">
        <v>-4.4000000000000004</v>
      </c>
      <c r="BS30" s="16"/>
      <c r="BT30" s="16"/>
      <c r="BU30" s="49">
        <f>SUM(BQ30:BT30)</f>
        <v>3.5</v>
      </c>
    </row>
    <row r="31" spans="1:73" s="192" customFormat="1" ht="13.5" thickBot="1">
      <c r="A31" s="190" t="s">
        <v>203</v>
      </c>
      <c r="B31" s="190"/>
      <c r="C31" s="190">
        <f>SUM(C25:C30)</f>
        <v>-45.234899328859051</v>
      </c>
      <c r="D31" s="190">
        <f>SUM(D25:D30)</f>
        <v>-75.033557046979851</v>
      </c>
      <c r="E31" s="190">
        <f>SUM(E25:E30)</f>
        <v>-115.16778523489931</v>
      </c>
      <c r="F31" s="190">
        <f>SUM(F25:F30)</f>
        <v>-102.55033557046978</v>
      </c>
      <c r="G31" s="191">
        <f>SUM(G25:G30)</f>
        <v>-102.55033557046981</v>
      </c>
      <c r="H31" s="190"/>
      <c r="I31" s="190">
        <f>SUM(I25:I30)</f>
        <v>-157.85234899328859</v>
      </c>
      <c r="J31" s="190">
        <f>SUM(J25:J30)</f>
        <v>-163.89261744966444</v>
      </c>
      <c r="K31" s="190">
        <f>SUM(K25:K30)</f>
        <v>-156.77852348993289</v>
      </c>
      <c r="L31" s="190">
        <f>SUM(L25:L30)</f>
        <v>-137.31543624161074</v>
      </c>
      <c r="M31" s="191">
        <f>SUM(M25:M30)</f>
        <v>-137.31543624161071</v>
      </c>
      <c r="N31" s="190"/>
      <c r="O31" s="190">
        <f>SUM(O25:O30)</f>
        <v>-266.71140939597319</v>
      </c>
      <c r="P31" s="190">
        <f>SUM(P25:P30)</f>
        <v>-311.27516778523494</v>
      </c>
      <c r="Q31" s="190">
        <f>SUM(Q25:Q30)</f>
        <v>-309.53020134228194</v>
      </c>
      <c r="R31" s="190">
        <f>SUM(R25:R30)</f>
        <v>-267.78523489932888</v>
      </c>
      <c r="S31" s="191">
        <f>SUM(S25:S30)</f>
        <v>-267.78523489932883</v>
      </c>
      <c r="T31" s="190"/>
      <c r="U31" s="190">
        <f>SUM(U25:U30)</f>
        <v>-297.31543624161071</v>
      </c>
      <c r="V31" s="190">
        <f>SUM(V25:V30)</f>
        <v>-379.19463087248317</v>
      </c>
      <c r="W31" s="190">
        <f>SUM(W25:W30)</f>
        <v>-378.65771812080533</v>
      </c>
      <c r="X31" s="190">
        <f>SUM(X25:X30)</f>
        <v>-303.35570469798654</v>
      </c>
      <c r="Y31" s="191">
        <f>SUM(Y25:Y30)</f>
        <v>-303.35570469798654</v>
      </c>
      <c r="Z31" s="190"/>
      <c r="AA31" s="190">
        <f>SUM(AA25:AA30)</f>
        <v>-306.40268456375838</v>
      </c>
      <c r="AB31" s="190">
        <f>SUM(AB25:AB30)</f>
        <v>-347.20805369127515</v>
      </c>
      <c r="AC31" s="190">
        <f>SUM(AC25:AC30)</f>
        <v>-359.82550335570465</v>
      </c>
      <c r="AD31" s="190">
        <f>SUM(AD25:AD30)</f>
        <v>-365.73154362416108</v>
      </c>
      <c r="AE31" s="191">
        <f>SUM(AE25:AE30)</f>
        <v>-365.73154362416102</v>
      </c>
      <c r="AG31" s="190">
        <f>SUM(AG25:AG30)</f>
        <v>-455.53020134228183</v>
      </c>
      <c r="AH31" s="193">
        <f>SUM(AH25:AH30)</f>
        <v>-508.68456375838923</v>
      </c>
      <c r="AI31" s="190">
        <f>SUM(AI25:AI30)</f>
        <v>-556.20134228187908</v>
      </c>
      <c r="AJ31" s="190">
        <f>SUM(AJ25:AJ30)</f>
        <v>-550.96644295302008</v>
      </c>
      <c r="AK31" s="191">
        <f>SUM(AK25:AK30)</f>
        <v>-550.96644295302008</v>
      </c>
      <c r="AM31" s="190">
        <f>SUM(AM25:AM30)</f>
        <v>-647.07382550335569</v>
      </c>
      <c r="AN31" s="193">
        <f>SUM(AN25:AN30)</f>
        <v>-663.04697986577185</v>
      </c>
      <c r="AO31" s="190">
        <f>SUM(AO25:AO30)</f>
        <v>-640.3624161073825</v>
      </c>
      <c r="AP31" s="190">
        <f>SUM(AP25:AP30)</f>
        <v>-594.45637583892608</v>
      </c>
      <c r="AQ31" s="191">
        <f>SUM(AQ25:AQ30)</f>
        <v>-594.45637583892608</v>
      </c>
      <c r="AS31" s="190">
        <f>SUM(AS25:AS30)</f>
        <v>-602.77852348993281</v>
      </c>
      <c r="AT31" s="193">
        <f>SUM(AT25:AT30)</f>
        <v>-361.30201342281873</v>
      </c>
      <c r="AU31" s="190">
        <f>SUM(AU25:AU30)</f>
        <v>-369.22147651006702</v>
      </c>
      <c r="AV31" s="190">
        <f>SUM(AV25:AV30)</f>
        <v>-256.20134228187908</v>
      </c>
      <c r="AW31" s="191">
        <f>SUM(AW25:AW30)</f>
        <v>-256.20134228187914</v>
      </c>
      <c r="AY31" s="190">
        <f>SUM(AY25:AY30)</f>
        <v>-372.57718120805356</v>
      </c>
      <c r="AZ31" s="190">
        <f>SUM(AZ25:AZ30)</f>
        <v>-381.03355704697969</v>
      </c>
      <c r="BA31" s="190">
        <f>SUM(BA25:BA30)</f>
        <v>-369.48993288590589</v>
      </c>
      <c r="BB31" s="190">
        <f>SUM(BB25:BB30)</f>
        <v>-283.31543624161054</v>
      </c>
      <c r="BC31" s="191">
        <f>SUM(BC25:BC30)</f>
        <v>-283.31543624161066</v>
      </c>
      <c r="BE31" s="190">
        <f>SUM(BE25:BE30)</f>
        <v>-268.28187919463068</v>
      </c>
      <c r="BF31" s="190">
        <f>SUM(BF25:BF30)</f>
        <v>-269.48993288590583</v>
      </c>
      <c r="BG31" s="190">
        <f>SUM(BG25:BG30)</f>
        <v>-284.38926174496623</v>
      </c>
      <c r="BH31" s="190">
        <f>SUM(BH25:BH30)</f>
        <v>-152.30872483221455</v>
      </c>
      <c r="BI31" s="191">
        <f>SUM(BI25:BI30)</f>
        <v>-152.30872483221458</v>
      </c>
      <c r="BK31" s="190">
        <f>SUM(BK25:BK30)</f>
        <v>-177.40939597315418</v>
      </c>
      <c r="BL31" s="190">
        <f>SUM(BL25:BL30)</f>
        <v>-192.97986577181189</v>
      </c>
      <c r="BM31" s="190">
        <f>SUM(BM25:BM30)</f>
        <v>-167.47651006711391</v>
      </c>
      <c r="BN31" s="190">
        <f>SUM(BN25:BN30)</f>
        <v>-88.876510067113898</v>
      </c>
      <c r="BO31" s="191">
        <f>SUM(BO25:BO30)</f>
        <v>-88.876510067113855</v>
      </c>
      <c r="BQ31" s="190">
        <f>SUM(BQ25:BQ30)</f>
        <v>-158.87551006711391</v>
      </c>
      <c r="BR31" s="190">
        <f>SUM(BR25:BR30)</f>
        <v>-188.17551006711392</v>
      </c>
      <c r="BS31" s="190"/>
      <c r="BT31" s="190"/>
      <c r="BU31" s="191">
        <f>SUM(BU25:BU30)</f>
        <v>-188.17551006711392</v>
      </c>
    </row>
    <row r="32" spans="1:73" s="194" customFormat="1">
      <c r="G32" s="195"/>
      <c r="M32" s="195"/>
      <c r="S32" s="195"/>
      <c r="Y32" s="195"/>
      <c r="AE32" s="195"/>
      <c r="AH32" s="196"/>
      <c r="AK32" s="195"/>
    </row>
  </sheetData>
  <mergeCells count="24">
    <mergeCell ref="BQ1:BU1"/>
    <mergeCell ref="BQ3:BU3"/>
    <mergeCell ref="AY3:BC3"/>
    <mergeCell ref="I1:M1"/>
    <mergeCell ref="O1:S1"/>
    <mergeCell ref="O3:S3"/>
    <mergeCell ref="U1:Y1"/>
    <mergeCell ref="U3:Y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  <mergeCell ref="AS3:AW3"/>
    <mergeCell ref="AY1:BC1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86"/>
  <sheetViews>
    <sheetView showGridLines="0" zoomScaleNormal="100" workbookViewId="0">
      <pane xSplit="1" ySplit="5" topLeftCell="BD19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BL87" sqref="BL87:BL88"/>
    </sheetView>
  </sheetViews>
  <sheetFormatPr defaultColWidth="9.140625" defaultRowHeight="12.75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16384" width="9.140625" style="2"/>
  </cols>
  <sheetData>
    <row r="1" spans="1:221">
      <c r="C1" s="230" t="s">
        <v>80</v>
      </c>
      <c r="D1" s="230"/>
      <c r="E1" s="230"/>
      <c r="F1" s="230"/>
      <c r="G1" s="230"/>
      <c r="I1" s="230" t="s">
        <v>80</v>
      </c>
      <c r="J1" s="230"/>
      <c r="K1" s="230"/>
      <c r="L1" s="230"/>
      <c r="M1" s="230"/>
      <c r="O1" s="230" t="s">
        <v>80</v>
      </c>
      <c r="P1" s="230"/>
      <c r="Q1" s="230"/>
      <c r="R1" s="230"/>
      <c r="S1" s="230"/>
      <c r="U1" s="230" t="s">
        <v>80</v>
      </c>
      <c r="V1" s="230"/>
      <c r="W1" s="230"/>
      <c r="X1" s="230"/>
      <c r="Y1" s="230"/>
      <c r="AA1" s="230" t="s">
        <v>80</v>
      </c>
      <c r="AB1" s="230"/>
      <c r="AC1" s="230"/>
      <c r="AD1" s="230"/>
      <c r="AE1" s="230"/>
      <c r="AG1" s="230" t="s">
        <v>80</v>
      </c>
      <c r="AH1" s="230"/>
      <c r="AI1" s="230"/>
      <c r="AJ1" s="230"/>
      <c r="AK1" s="230"/>
      <c r="AM1" s="230" t="s">
        <v>80</v>
      </c>
      <c r="AN1" s="230"/>
      <c r="AO1" s="230"/>
      <c r="AP1" s="230"/>
      <c r="AQ1" s="230"/>
      <c r="AS1" s="230" t="s">
        <v>80</v>
      </c>
      <c r="AT1" s="230"/>
      <c r="AU1" s="230"/>
      <c r="AV1" s="230"/>
      <c r="AW1" s="230"/>
      <c r="AY1" s="230" t="s">
        <v>80</v>
      </c>
      <c r="AZ1" s="230"/>
      <c r="BA1" s="230"/>
      <c r="BB1" s="230"/>
      <c r="BC1" s="230"/>
      <c r="BE1" s="230" t="s">
        <v>80</v>
      </c>
      <c r="BF1" s="230"/>
      <c r="BG1" s="230"/>
      <c r="BH1" s="230"/>
      <c r="BI1" s="230"/>
      <c r="BK1" s="230" t="s">
        <v>80</v>
      </c>
      <c r="BL1" s="230"/>
      <c r="BM1" s="230"/>
      <c r="BN1" s="230"/>
      <c r="BO1" s="230"/>
      <c r="BQ1" s="230" t="s">
        <v>80</v>
      </c>
      <c r="BR1" s="230"/>
      <c r="BS1" s="230"/>
      <c r="BT1" s="230"/>
      <c r="BU1" s="230"/>
    </row>
    <row r="2" spans="1:221">
      <c r="A2" s="1" t="s">
        <v>34</v>
      </c>
      <c r="C2" s="229">
        <v>2005</v>
      </c>
      <c r="D2" s="229"/>
      <c r="E2" s="229"/>
      <c r="F2" s="229"/>
      <c r="G2" s="229"/>
      <c r="I2" s="229">
        <v>2006</v>
      </c>
      <c r="J2" s="229"/>
      <c r="K2" s="229"/>
      <c r="L2" s="229"/>
      <c r="M2" s="229"/>
      <c r="O2" s="229">
        <v>2007</v>
      </c>
      <c r="P2" s="229"/>
      <c r="Q2" s="229"/>
      <c r="R2" s="229"/>
      <c r="S2" s="229"/>
      <c r="U2" s="229">
        <v>2008</v>
      </c>
      <c r="V2" s="229"/>
      <c r="W2" s="229"/>
      <c r="X2" s="229"/>
      <c r="Y2" s="229"/>
      <c r="AA2" s="229">
        <v>2009</v>
      </c>
      <c r="AB2" s="229"/>
      <c r="AC2" s="229"/>
      <c r="AD2" s="229"/>
      <c r="AE2" s="229"/>
      <c r="AG2" s="229">
        <v>2010</v>
      </c>
      <c r="AH2" s="229"/>
      <c r="AI2" s="229"/>
      <c r="AJ2" s="229"/>
      <c r="AK2" s="229"/>
      <c r="AM2" s="229">
        <v>2011</v>
      </c>
      <c r="AN2" s="229"/>
      <c r="AO2" s="229"/>
      <c r="AP2" s="229"/>
      <c r="AQ2" s="229"/>
      <c r="AS2" s="229">
        <v>2012</v>
      </c>
      <c r="AT2" s="229"/>
      <c r="AU2" s="229"/>
      <c r="AV2" s="229"/>
      <c r="AW2" s="229"/>
      <c r="AY2" s="229">
        <v>2013</v>
      </c>
      <c r="AZ2" s="229"/>
      <c r="BA2" s="229"/>
      <c r="BB2" s="229"/>
      <c r="BC2" s="229"/>
      <c r="BE2" s="229">
        <v>2014</v>
      </c>
      <c r="BF2" s="229"/>
      <c r="BG2" s="229"/>
      <c r="BH2" s="229"/>
      <c r="BI2" s="229"/>
      <c r="BK2" s="229">
        <v>2015</v>
      </c>
      <c r="BL2" s="229"/>
      <c r="BM2" s="229"/>
      <c r="BN2" s="229"/>
      <c r="BO2" s="229"/>
      <c r="BQ2" s="229">
        <v>2016</v>
      </c>
      <c r="BR2" s="229"/>
      <c r="BS2" s="229"/>
      <c r="BT2" s="229"/>
      <c r="BU2" s="229"/>
    </row>
    <row r="3" spans="1:221" s="75" customFormat="1" ht="13.5" thickBot="1">
      <c r="A3" s="73" t="s">
        <v>183</v>
      </c>
      <c r="B3" s="74"/>
      <c r="C3" s="74" t="s">
        <v>10</v>
      </c>
      <c r="D3" s="74" t="s">
        <v>11</v>
      </c>
      <c r="E3" s="74" t="s">
        <v>12</v>
      </c>
      <c r="F3" s="74" t="s">
        <v>13</v>
      </c>
      <c r="G3" s="74" t="s">
        <v>14</v>
      </c>
      <c r="I3" s="74" t="s">
        <v>10</v>
      </c>
      <c r="J3" s="74" t="s">
        <v>11</v>
      </c>
      <c r="K3" s="74" t="s">
        <v>12</v>
      </c>
      <c r="L3" s="74" t="s">
        <v>13</v>
      </c>
      <c r="M3" s="74" t="s">
        <v>14</v>
      </c>
      <c r="O3" s="74" t="s">
        <v>10</v>
      </c>
      <c r="P3" s="74" t="s">
        <v>11</v>
      </c>
      <c r="Q3" s="74" t="s">
        <v>12</v>
      </c>
      <c r="R3" s="74" t="s">
        <v>13</v>
      </c>
      <c r="S3" s="74" t="s">
        <v>14</v>
      </c>
      <c r="U3" s="74" t="s">
        <v>10</v>
      </c>
      <c r="V3" s="74" t="s">
        <v>11</v>
      </c>
      <c r="W3" s="74" t="s">
        <v>12</v>
      </c>
      <c r="X3" s="74" t="s">
        <v>13</v>
      </c>
      <c r="Y3" s="74" t="s">
        <v>14</v>
      </c>
      <c r="AA3" s="74" t="s">
        <v>10</v>
      </c>
      <c r="AB3" s="74" t="s">
        <v>11</v>
      </c>
      <c r="AC3" s="74" t="s">
        <v>12</v>
      </c>
      <c r="AD3" s="74" t="s">
        <v>13</v>
      </c>
      <c r="AE3" s="74" t="s">
        <v>14</v>
      </c>
      <c r="AG3" s="74" t="s">
        <v>10</v>
      </c>
      <c r="AH3" s="74" t="s">
        <v>11</v>
      </c>
      <c r="AI3" s="74" t="s">
        <v>12</v>
      </c>
      <c r="AJ3" s="74" t="s">
        <v>13</v>
      </c>
      <c r="AK3" s="74" t="s">
        <v>14</v>
      </c>
      <c r="AM3" s="74" t="s">
        <v>10</v>
      </c>
      <c r="AN3" s="74" t="s">
        <v>11</v>
      </c>
      <c r="AO3" s="74" t="s">
        <v>12</v>
      </c>
      <c r="AP3" s="74" t="s">
        <v>13</v>
      </c>
      <c r="AQ3" s="74" t="s">
        <v>14</v>
      </c>
      <c r="AS3" s="74" t="s">
        <v>10</v>
      </c>
      <c r="AT3" s="74" t="s">
        <v>11</v>
      </c>
      <c r="AU3" s="74" t="s">
        <v>12</v>
      </c>
      <c r="AV3" s="74" t="s">
        <v>13</v>
      </c>
      <c r="AW3" s="74" t="s">
        <v>14</v>
      </c>
      <c r="AY3" s="74" t="s">
        <v>10</v>
      </c>
      <c r="AZ3" s="74" t="s">
        <v>11</v>
      </c>
      <c r="BA3" s="74" t="s">
        <v>12</v>
      </c>
      <c r="BB3" s="74" t="s">
        <v>13</v>
      </c>
      <c r="BC3" s="74" t="s">
        <v>14</v>
      </c>
      <c r="BE3" s="74" t="s">
        <v>10</v>
      </c>
      <c r="BF3" s="74" t="s">
        <v>11</v>
      </c>
      <c r="BG3" s="74" t="s">
        <v>12</v>
      </c>
      <c r="BH3" s="74" t="s">
        <v>13</v>
      </c>
      <c r="BI3" s="74" t="s">
        <v>14</v>
      </c>
      <c r="BK3" s="74" t="s">
        <v>10</v>
      </c>
      <c r="BL3" s="74" t="s">
        <v>11</v>
      </c>
      <c r="BM3" s="74" t="s">
        <v>12</v>
      </c>
      <c r="BN3" s="74" t="s">
        <v>13</v>
      </c>
      <c r="BO3" s="74" t="s">
        <v>14</v>
      </c>
      <c r="BQ3" s="74" t="s">
        <v>10</v>
      </c>
      <c r="BR3" s="74" t="s">
        <v>11</v>
      </c>
      <c r="BS3" s="74" t="s">
        <v>12</v>
      </c>
      <c r="BT3" s="74" t="s">
        <v>13</v>
      </c>
      <c r="BU3" s="74" t="s">
        <v>14</v>
      </c>
    </row>
    <row r="4" spans="1:221" s="93" customFormat="1" ht="13.5" thickTop="1">
      <c r="G4" s="94"/>
      <c r="M4" s="94"/>
      <c r="S4" s="94"/>
      <c r="Y4" s="94"/>
      <c r="AE4" s="94"/>
      <c r="AK4" s="94"/>
      <c r="AQ4" s="94"/>
      <c r="AW4" s="94"/>
      <c r="BC4" s="94"/>
      <c r="BI4" s="94"/>
      <c r="BO4" s="94"/>
      <c r="BU4" s="94"/>
    </row>
    <row r="5" spans="1:221">
      <c r="A5" s="5" t="s">
        <v>0</v>
      </c>
      <c r="G5" s="46"/>
      <c r="M5" s="46"/>
      <c r="S5" s="46"/>
      <c r="Y5" s="46"/>
      <c r="AE5" s="46"/>
      <c r="AK5" s="46"/>
      <c r="AQ5" s="46"/>
      <c r="AW5" s="46"/>
      <c r="BC5" s="46"/>
      <c r="BI5" s="46"/>
      <c r="BO5" s="46"/>
      <c r="BU5" s="46"/>
    </row>
    <row r="6" spans="1:221">
      <c r="A6" s="2" t="s">
        <v>98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116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116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116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116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97">
        <v>218.65771812080536</v>
      </c>
      <c r="AE6" s="116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97">
        <v>342.55033557046977</v>
      </c>
      <c r="AK6" s="116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97">
        <v>300.26845637583892</v>
      </c>
      <c r="AQ6" s="116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97">
        <v>306.44295302013421</v>
      </c>
      <c r="AW6" s="116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97">
        <v>334.36241610738256</v>
      </c>
      <c r="BC6" s="116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97">
        <v>289.26174496644296</v>
      </c>
      <c r="BI6" s="116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97">
        <v>282.00000000000011</v>
      </c>
      <c r="BO6" s="116">
        <f>SUM(BK6:BN6)</f>
        <v>1211.9328859060404</v>
      </c>
      <c r="BP6" s="31"/>
      <c r="BQ6" s="31">
        <v>223</v>
      </c>
      <c r="BR6" s="31">
        <v>267.8</v>
      </c>
      <c r="BS6" s="31"/>
      <c r="BT6" s="197"/>
      <c r="BU6" s="116">
        <f>SUM(BQ6:BT6)</f>
        <v>490.8</v>
      </c>
      <c r="BV6" s="31"/>
      <c r="BW6" s="31"/>
      <c r="BX6" s="31"/>
      <c r="BY6" s="31"/>
      <c r="BZ6" s="31"/>
      <c r="CA6" s="31"/>
      <c r="CB6" s="31"/>
    </row>
    <row r="7" spans="1:221">
      <c r="A7" s="2" t="s">
        <v>150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116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116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116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116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97">
        <v>168.3221476510067</v>
      </c>
      <c r="AE7" s="116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97">
        <v>191.27516778523488</v>
      </c>
      <c r="AK7" s="116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97">
        <v>215.16778523489933</v>
      </c>
      <c r="AQ7" s="116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97">
        <v>220.80536912751677</v>
      </c>
      <c r="AW7" s="116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97">
        <v>215.9731543624161</v>
      </c>
      <c r="BC7" s="116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97">
        <v>238.52348993288589</v>
      </c>
      <c r="BI7" s="116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97">
        <v>246.7</v>
      </c>
      <c r="BO7" s="116">
        <f t="shared" ref="BO7:BO12" si="10">SUM(BK7:BN7)</f>
        <v>971.53221476510066</v>
      </c>
      <c r="BP7" s="31"/>
      <c r="BQ7" s="31">
        <v>255.4</v>
      </c>
      <c r="BR7" s="31">
        <v>276.5</v>
      </c>
      <c r="BS7" s="31"/>
      <c r="BT7" s="197"/>
      <c r="BU7" s="116">
        <f t="shared" ref="BU7:BU12" si="11">SUM(BQ7:BT7)</f>
        <v>531.9</v>
      </c>
      <c r="BV7" s="31"/>
      <c r="BW7" s="31"/>
      <c r="BX7" s="31"/>
      <c r="BY7" s="31"/>
      <c r="BZ7" s="31"/>
      <c r="CA7" s="31"/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116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116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116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116">
        <f t="shared" si="3"/>
        <v>0</v>
      </c>
      <c r="Z8" s="31"/>
      <c r="AA8" s="31">
        <v>0</v>
      </c>
      <c r="AB8" s="31">
        <v>0</v>
      </c>
      <c r="AC8" s="31">
        <v>0</v>
      </c>
      <c r="AD8" s="197">
        <v>0</v>
      </c>
      <c r="AE8" s="116">
        <f t="shared" si="4"/>
        <v>0</v>
      </c>
      <c r="AF8" s="31"/>
      <c r="AG8" s="31">
        <v>0</v>
      </c>
      <c r="AH8" s="31">
        <v>0</v>
      </c>
      <c r="AI8" s="31">
        <v>0</v>
      </c>
      <c r="AJ8" s="197">
        <v>0</v>
      </c>
      <c r="AK8" s="116">
        <f t="shared" si="5"/>
        <v>0</v>
      </c>
      <c r="AL8" s="31"/>
      <c r="AM8" s="31">
        <v>0</v>
      </c>
      <c r="AN8" s="31">
        <v>0</v>
      </c>
      <c r="AO8" s="31">
        <v>0</v>
      </c>
      <c r="AP8" s="197">
        <v>0</v>
      </c>
      <c r="AQ8" s="116">
        <f t="shared" si="6"/>
        <v>0</v>
      </c>
      <c r="AR8" s="31"/>
      <c r="AS8" s="31">
        <v>0</v>
      </c>
      <c r="AT8" s="31">
        <v>0</v>
      </c>
      <c r="AU8" s="31">
        <v>0</v>
      </c>
      <c r="AV8" s="197">
        <v>0</v>
      </c>
      <c r="AW8" s="116">
        <f t="shared" si="7"/>
        <v>0</v>
      </c>
      <c r="AX8" s="31"/>
      <c r="AY8" s="31">
        <v>0</v>
      </c>
      <c r="AZ8" s="31">
        <v>0</v>
      </c>
      <c r="BA8" s="31">
        <v>0</v>
      </c>
      <c r="BB8" s="197">
        <v>0</v>
      </c>
      <c r="BC8" s="116">
        <f t="shared" si="8"/>
        <v>0</v>
      </c>
      <c r="BD8" s="31"/>
      <c r="BE8" s="31">
        <v>0</v>
      </c>
      <c r="BF8" s="31">
        <v>0</v>
      </c>
      <c r="BG8" s="31">
        <v>0</v>
      </c>
      <c r="BH8" s="197">
        <v>0</v>
      </c>
      <c r="BI8" s="116">
        <f t="shared" si="9"/>
        <v>0</v>
      </c>
      <c r="BJ8" s="31"/>
      <c r="BK8" s="31">
        <v>0</v>
      </c>
      <c r="BL8" s="31">
        <v>0</v>
      </c>
      <c r="BM8" s="31">
        <v>0</v>
      </c>
      <c r="BN8" s="197"/>
      <c r="BO8" s="116">
        <f t="shared" si="10"/>
        <v>0</v>
      </c>
      <c r="BP8" s="31"/>
      <c r="BQ8" s="31">
        <v>0</v>
      </c>
      <c r="BR8" s="31"/>
      <c r="BS8" s="31"/>
      <c r="BT8" s="197"/>
      <c r="BU8" s="116">
        <f t="shared" si="11"/>
        <v>0</v>
      </c>
      <c r="BV8" s="31"/>
      <c r="BW8" s="31"/>
      <c r="BX8" s="31"/>
      <c r="BY8" s="31"/>
      <c r="BZ8" s="31"/>
      <c r="CA8" s="31"/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116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116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116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116">
        <f t="shared" si="3"/>
        <v>0</v>
      </c>
      <c r="Z9" s="31"/>
      <c r="AA9" s="31">
        <v>0</v>
      </c>
      <c r="AB9" s="31">
        <v>0</v>
      </c>
      <c r="AC9" s="31">
        <v>0</v>
      </c>
      <c r="AD9" s="197">
        <v>0</v>
      </c>
      <c r="AE9" s="116">
        <f t="shared" si="4"/>
        <v>0</v>
      </c>
      <c r="AF9" s="31"/>
      <c r="AG9" s="31">
        <v>0</v>
      </c>
      <c r="AH9" s="31">
        <v>0</v>
      </c>
      <c r="AI9" s="31">
        <v>0</v>
      </c>
      <c r="AJ9" s="197">
        <v>0</v>
      </c>
      <c r="AK9" s="116">
        <f t="shared" si="5"/>
        <v>0</v>
      </c>
      <c r="AL9" s="31"/>
      <c r="AM9" s="31">
        <v>0</v>
      </c>
      <c r="AN9" s="31">
        <v>0</v>
      </c>
      <c r="AO9" s="31">
        <v>0</v>
      </c>
      <c r="AP9" s="197">
        <v>0</v>
      </c>
      <c r="AQ9" s="116">
        <f t="shared" si="6"/>
        <v>0</v>
      </c>
      <c r="AR9" s="31"/>
      <c r="AS9" s="31">
        <v>0</v>
      </c>
      <c r="AT9" s="31">
        <v>0</v>
      </c>
      <c r="AU9" s="31">
        <v>0</v>
      </c>
      <c r="AV9" s="197">
        <v>0</v>
      </c>
      <c r="AW9" s="116">
        <f t="shared" si="7"/>
        <v>0</v>
      </c>
      <c r="AX9" s="31"/>
      <c r="AY9" s="31">
        <v>0</v>
      </c>
      <c r="AZ9" s="31">
        <v>0</v>
      </c>
      <c r="BA9" s="31">
        <v>0</v>
      </c>
      <c r="BB9" s="197">
        <v>0</v>
      </c>
      <c r="BC9" s="116">
        <f t="shared" si="8"/>
        <v>0</v>
      </c>
      <c r="BD9" s="31"/>
      <c r="BE9" s="31">
        <v>0</v>
      </c>
      <c r="BF9" s="31">
        <v>0</v>
      </c>
      <c r="BG9" s="31">
        <v>0</v>
      </c>
      <c r="BH9" s="197">
        <v>0</v>
      </c>
      <c r="BI9" s="116">
        <f t="shared" si="9"/>
        <v>0</v>
      </c>
      <c r="BJ9" s="31"/>
      <c r="BK9" s="31">
        <v>0</v>
      </c>
      <c r="BL9" s="31">
        <v>0</v>
      </c>
      <c r="BM9" s="31">
        <v>0</v>
      </c>
      <c r="BN9" s="197"/>
      <c r="BO9" s="116">
        <f t="shared" si="10"/>
        <v>0</v>
      </c>
      <c r="BP9" s="31"/>
      <c r="BQ9" s="31">
        <v>0</v>
      </c>
      <c r="BR9" s="31"/>
      <c r="BS9" s="31"/>
      <c r="BT9" s="197"/>
      <c r="BU9" s="116">
        <f t="shared" si="11"/>
        <v>0</v>
      </c>
      <c r="BV9" s="31"/>
      <c r="BW9" s="31"/>
      <c r="BX9" s="31"/>
      <c r="BY9" s="31"/>
      <c r="BZ9" s="31"/>
      <c r="CA9" s="31"/>
      <c r="CB9" s="31"/>
    </row>
    <row r="10" spans="1:221">
      <c r="A10" s="2" t="s">
        <v>99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116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116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116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116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97">
        <v>5.6375838926174495</v>
      </c>
      <c r="AE10" s="116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97">
        <v>7.1140939597315436</v>
      </c>
      <c r="AK10" s="116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97">
        <v>8.3221476510067109</v>
      </c>
      <c r="AQ10" s="116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97">
        <v>10.067114093959731</v>
      </c>
      <c r="AW10" s="116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97">
        <v>11.677852348993289</v>
      </c>
      <c r="BC10" s="116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97">
        <v>12.483221476510067</v>
      </c>
      <c r="BI10" s="116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97">
        <v>12.700000000000003</v>
      </c>
      <c r="BO10" s="116">
        <f t="shared" si="10"/>
        <v>40.61946308724832</v>
      </c>
      <c r="BP10" s="31"/>
      <c r="BQ10" s="31">
        <v>7.2</v>
      </c>
      <c r="BR10" s="31">
        <v>8.9</v>
      </c>
      <c r="BS10" s="31"/>
      <c r="BT10" s="197"/>
      <c r="BU10" s="116">
        <f t="shared" si="11"/>
        <v>16.100000000000001</v>
      </c>
      <c r="BV10" s="31"/>
      <c r="BW10" s="31"/>
      <c r="BX10" s="31"/>
      <c r="BY10" s="31"/>
      <c r="BZ10" s="31"/>
      <c r="CA10" s="31"/>
      <c r="CB10" s="31"/>
    </row>
    <row r="11" spans="1:221" hidden="1">
      <c r="A11" s="2" t="s">
        <v>35</v>
      </c>
      <c r="C11" s="31">
        <v>0</v>
      </c>
      <c r="D11" s="31">
        <v>0</v>
      </c>
      <c r="E11" s="31">
        <v>0</v>
      </c>
      <c r="F11" s="31">
        <v>0</v>
      </c>
      <c r="G11" s="116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116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116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116">
        <f t="shared" si="3"/>
        <v>0</v>
      </c>
      <c r="Z11" s="31"/>
      <c r="AA11" s="31">
        <v>0</v>
      </c>
      <c r="AB11" s="31">
        <v>0</v>
      </c>
      <c r="AC11" s="31">
        <v>0</v>
      </c>
      <c r="AD11" s="197">
        <v>0</v>
      </c>
      <c r="AE11" s="116">
        <f t="shared" si="4"/>
        <v>0</v>
      </c>
      <c r="AF11" s="31"/>
      <c r="AG11" s="31">
        <v>0</v>
      </c>
      <c r="AH11" s="31">
        <v>0</v>
      </c>
      <c r="AI11" s="31">
        <v>0</v>
      </c>
      <c r="AJ11" s="197">
        <v>0</v>
      </c>
      <c r="AK11" s="116">
        <f t="shared" si="5"/>
        <v>0</v>
      </c>
      <c r="AL11" s="31"/>
      <c r="AM11" s="31">
        <v>0</v>
      </c>
      <c r="AN11" s="31">
        <v>0</v>
      </c>
      <c r="AO11" s="31">
        <v>0</v>
      </c>
      <c r="AP11" s="197">
        <v>0</v>
      </c>
      <c r="AQ11" s="116">
        <f t="shared" si="6"/>
        <v>0</v>
      </c>
      <c r="AR11" s="31"/>
      <c r="AS11" s="31">
        <v>0</v>
      </c>
      <c r="AT11" s="31">
        <v>0</v>
      </c>
      <c r="AU11" s="31">
        <v>0</v>
      </c>
      <c r="AV11" s="197">
        <v>0</v>
      </c>
      <c r="AW11" s="116">
        <f t="shared" si="7"/>
        <v>0</v>
      </c>
      <c r="AX11" s="31"/>
      <c r="AY11" s="31">
        <v>0</v>
      </c>
      <c r="AZ11" s="31">
        <v>0</v>
      </c>
      <c r="BA11" s="31">
        <v>0</v>
      </c>
      <c r="BB11" s="197">
        <v>0</v>
      </c>
      <c r="BC11" s="116">
        <f t="shared" si="8"/>
        <v>0</v>
      </c>
      <c r="BD11" s="31"/>
      <c r="BE11" s="31">
        <v>0</v>
      </c>
      <c r="BF11" s="31">
        <v>0</v>
      </c>
      <c r="BG11" s="31">
        <v>0</v>
      </c>
      <c r="BH11" s="197">
        <v>0</v>
      </c>
      <c r="BI11" s="116">
        <f t="shared" si="9"/>
        <v>0</v>
      </c>
      <c r="BJ11" s="31"/>
      <c r="BK11" s="31">
        <v>0</v>
      </c>
      <c r="BL11" s="31">
        <v>0</v>
      </c>
      <c r="BM11" s="31">
        <v>0</v>
      </c>
      <c r="BN11" s="197"/>
      <c r="BO11" s="116">
        <f t="shared" si="10"/>
        <v>0</v>
      </c>
      <c r="BP11" s="31"/>
      <c r="BQ11" s="31">
        <v>0</v>
      </c>
      <c r="BR11" s="31"/>
      <c r="BS11" s="31"/>
      <c r="BT11" s="197"/>
      <c r="BU11" s="116">
        <f t="shared" si="11"/>
        <v>0</v>
      </c>
      <c r="BV11" s="31"/>
      <c r="BW11" s="31"/>
      <c r="BX11" s="31"/>
      <c r="BY11" s="31"/>
      <c r="BZ11" s="31"/>
      <c r="CA11" s="31"/>
      <c r="CB11" s="31"/>
    </row>
    <row r="12" spans="1:221">
      <c r="A12" s="2" t="s">
        <v>72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116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116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116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116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97">
        <v>0.26845637583892618</v>
      </c>
      <c r="AE12" s="116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97">
        <v>-0.13422818791946309</v>
      </c>
      <c r="AK12" s="116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97">
        <v>0</v>
      </c>
      <c r="AQ12" s="116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97">
        <v>-0.13422818791946309</v>
      </c>
      <c r="AW12" s="116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97">
        <v>-0.26845637583892618</v>
      </c>
      <c r="BC12" s="116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97">
        <v>-0.13422818791946309</v>
      </c>
      <c r="BI12" s="116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97">
        <v>-0.4</v>
      </c>
      <c r="BO12" s="116">
        <f t="shared" si="10"/>
        <v>-0.53422818791946314</v>
      </c>
      <c r="BP12" s="31"/>
      <c r="BQ12" s="31">
        <v>0</v>
      </c>
      <c r="BR12" s="31">
        <v>0</v>
      </c>
      <c r="BS12" s="31"/>
      <c r="BT12" s="197"/>
      <c r="BU12" s="116">
        <f t="shared" si="11"/>
        <v>0</v>
      </c>
      <c r="BV12" s="31"/>
      <c r="BW12" s="31"/>
      <c r="BX12" s="31"/>
      <c r="BY12" s="31"/>
      <c r="BZ12" s="31"/>
      <c r="CA12" s="31"/>
      <c r="CB12" s="31"/>
    </row>
    <row r="13" spans="1:221" s="85" customFormat="1" ht="18.75" customHeight="1">
      <c r="C13" s="198">
        <f>SUM(C5:C12)</f>
        <v>250.46979865771809</v>
      </c>
      <c r="D13" s="198">
        <f>SUM(D5:D12)</f>
        <v>307.65100671140942</v>
      </c>
      <c r="E13" s="198">
        <f>SUM(E5:E12)</f>
        <v>299.46308724832215</v>
      </c>
      <c r="F13" s="198">
        <f>SUM(F5:F12)</f>
        <v>316.91275167785233</v>
      </c>
      <c r="G13" s="199">
        <f>SUM(G5:G12)</f>
        <v>1174.4966442953021</v>
      </c>
      <c r="H13" s="198"/>
      <c r="I13" s="198">
        <f>SUM(I5:I12)</f>
        <v>323.75838926174498</v>
      </c>
      <c r="J13" s="198">
        <f>SUM(J5:J12)</f>
        <v>380.80536912751683</v>
      </c>
      <c r="K13" s="198">
        <f>SUM(K5:K12)</f>
        <v>362.81879194630869</v>
      </c>
      <c r="L13" s="198">
        <f>SUM(L5:L12)</f>
        <v>384.29530201342283</v>
      </c>
      <c r="M13" s="199">
        <f>SUM(M5:M12)</f>
        <v>1451.6778523489932</v>
      </c>
      <c r="N13" s="198"/>
      <c r="O13" s="198">
        <f>SUM(O5:O12)</f>
        <v>420.13422818791952</v>
      </c>
      <c r="P13" s="198">
        <f>SUM(P5:P12)</f>
        <v>484.83221476510067</v>
      </c>
      <c r="Q13" s="198">
        <f>SUM(Q5:Q12)</f>
        <v>450.46979865771812</v>
      </c>
      <c r="R13" s="198">
        <f>SUM(R5:R12)</f>
        <v>460.00000000000006</v>
      </c>
      <c r="S13" s="199">
        <f>SUM(S5:S12)</f>
        <v>1815.4362416107383</v>
      </c>
      <c r="T13" s="198"/>
      <c r="U13" s="198">
        <f>SUM(U5:U12)</f>
        <v>451.81208053691273</v>
      </c>
      <c r="V13" s="198">
        <f>SUM(V5:V12)</f>
        <v>508.5906040268456</v>
      </c>
      <c r="W13" s="198">
        <f>SUM(W5:W12)</f>
        <v>473.55704697986573</v>
      </c>
      <c r="X13" s="198">
        <f>SUM(X5:X12)</f>
        <v>422.14765100671138</v>
      </c>
      <c r="Y13" s="199">
        <f>SUM(Y5:Y12)</f>
        <v>1856.1073825503356</v>
      </c>
      <c r="Z13" s="198"/>
      <c r="AA13" s="198">
        <f>SUM(AA5:AA12)</f>
        <v>353.69127516778525</v>
      </c>
      <c r="AB13" s="198">
        <f>SUM(AB5:AB12)</f>
        <v>422.01342281879192</v>
      </c>
      <c r="AC13" s="198">
        <f>SUM(AC5:AC12)</f>
        <v>400.13422818791946</v>
      </c>
      <c r="AD13" s="198">
        <f>SUM(AD5:AD12)</f>
        <v>392.88590604026842</v>
      </c>
      <c r="AE13" s="199">
        <f>SUM(AE5:AE12)</f>
        <v>1568.724832214765</v>
      </c>
      <c r="AF13" s="198"/>
      <c r="AG13" s="198">
        <f>SUM(AG5:AG12)</f>
        <v>411.00671140939596</v>
      </c>
      <c r="AH13" s="198">
        <f>SUM(AH5:AH12)</f>
        <v>487.91946308724829</v>
      </c>
      <c r="AI13" s="198">
        <f>SUM(AI5:AI12)</f>
        <v>500</v>
      </c>
      <c r="AJ13" s="198">
        <f>SUM(AJ5:AJ12)</f>
        <v>540.80536912751677</v>
      </c>
      <c r="AK13" s="199">
        <f>SUM(AK5:AK12)</f>
        <v>1939.7315436241608</v>
      </c>
      <c r="AL13" s="198"/>
      <c r="AM13" s="198">
        <f>SUM(AM5:AM12)</f>
        <v>506.57718120805367</v>
      </c>
      <c r="AN13" s="198">
        <f>SUM(AN5:AN12)</f>
        <v>539.06040268456377</v>
      </c>
      <c r="AO13" s="198">
        <f>SUM(AO5:AO12)</f>
        <v>525.10067114093965</v>
      </c>
      <c r="AP13" s="198">
        <f>SUM(AP5:AP12)</f>
        <v>523.75838926174504</v>
      </c>
      <c r="AQ13" s="199">
        <f>SUM(AQ5:AQ12)</f>
        <v>2094.4966442953018</v>
      </c>
      <c r="AR13" s="198"/>
      <c r="AS13" s="198">
        <f>SUM(AS5:AS12)</f>
        <v>473.95973154362417</v>
      </c>
      <c r="AT13" s="198">
        <f>SUM(AT5:AT12)</f>
        <v>524.02684563758396</v>
      </c>
      <c r="AU13" s="198">
        <f>SUM(AU5:AU12)</f>
        <v>512.21476510067112</v>
      </c>
      <c r="AV13" s="198">
        <f>SUM(AV5:AV12)</f>
        <v>537.18120805369119</v>
      </c>
      <c r="AW13" s="199">
        <f>SUM(AW5:AW12)</f>
        <v>2047.3825503355706</v>
      </c>
      <c r="AX13" s="198"/>
      <c r="AY13" s="198">
        <f>SUM(AY5:AY12)</f>
        <v>471.0067114093959</v>
      </c>
      <c r="AZ13" s="198">
        <f>SUM(AZ5:AZ12)</f>
        <v>542.01342281879192</v>
      </c>
      <c r="BA13" s="198">
        <f>SUM(BA5:BA12)</f>
        <v>547.24832214765104</v>
      </c>
      <c r="BB13" s="198">
        <f>SUM(BB5:BB12)</f>
        <v>561.744966442953</v>
      </c>
      <c r="BC13" s="199">
        <f>SUM(BC5:BC12)</f>
        <v>2122.0134228187917</v>
      </c>
      <c r="BD13" s="198"/>
      <c r="BE13" s="198">
        <f>SUM(BE5:BE12)</f>
        <v>518.79194630872485</v>
      </c>
      <c r="BF13" s="198">
        <f>SUM(BF5:BF12)</f>
        <v>540.67114093959731</v>
      </c>
      <c r="BG13" s="198">
        <f>SUM(BG5:BG12)</f>
        <v>529.66442953020135</v>
      </c>
      <c r="BH13" s="198">
        <f>SUM(BH5:BH12)</f>
        <v>540.13422818791946</v>
      </c>
      <c r="BI13" s="199">
        <f>SUM(BI5:BI12)</f>
        <v>2129.2617449664426</v>
      </c>
      <c r="BJ13" s="198"/>
      <c r="BK13" s="198">
        <f>SUM(BK5:BK12)</f>
        <v>558.92617449664431</v>
      </c>
      <c r="BL13" s="198">
        <f>SUM(BL5:BL12)</f>
        <v>600.13422818791946</v>
      </c>
      <c r="BM13" s="198">
        <f>SUM(BM5:BM12)</f>
        <v>523.489932885906</v>
      </c>
      <c r="BN13" s="198">
        <f>SUM(BN5:BN12)</f>
        <v>541.00000000000011</v>
      </c>
      <c r="BO13" s="199">
        <f>SUM(BO5:BO12)</f>
        <v>2223.55033557047</v>
      </c>
      <c r="BP13" s="198"/>
      <c r="BQ13" s="198">
        <f>SUM(BQ5:BQ12)</f>
        <v>485.59999999999997</v>
      </c>
      <c r="BR13" s="198">
        <f>SUM(BR5:BR12)</f>
        <v>553.19999999999993</v>
      </c>
      <c r="BS13" s="198"/>
      <c r="BT13" s="198"/>
      <c r="BU13" s="199">
        <f>SUM(BU5:BU12)</f>
        <v>1038.8</v>
      </c>
      <c r="BV13" s="198"/>
      <c r="BW13" s="198"/>
      <c r="BX13" s="198"/>
      <c r="BY13" s="198"/>
      <c r="BZ13" s="198"/>
      <c r="CA13" s="198"/>
      <c r="CB13" s="198"/>
    </row>
    <row r="14" spans="1:221" s="92" customFormat="1" ht="8.4499999999999993" customHeight="1">
      <c r="C14" s="200"/>
      <c r="D14" s="200"/>
      <c r="E14" s="200"/>
      <c r="F14" s="200"/>
      <c r="G14" s="201"/>
      <c r="H14" s="200"/>
      <c r="I14" s="200"/>
      <c r="J14" s="200"/>
      <c r="K14" s="200"/>
      <c r="L14" s="200"/>
      <c r="M14" s="201"/>
      <c r="N14" s="200"/>
      <c r="O14" s="200"/>
      <c r="P14" s="200"/>
      <c r="Q14" s="200"/>
      <c r="R14" s="200"/>
      <c r="S14" s="201"/>
      <c r="T14" s="200"/>
      <c r="U14" s="200"/>
      <c r="V14" s="200"/>
      <c r="W14" s="200"/>
      <c r="X14" s="200"/>
      <c r="Y14" s="201"/>
      <c r="Z14" s="200"/>
      <c r="AA14" s="200"/>
      <c r="AB14" s="200"/>
      <c r="AC14" s="200"/>
      <c r="AD14" s="200"/>
      <c r="AE14" s="201"/>
      <c r="AF14" s="200"/>
      <c r="AG14" s="200">
        <v>0</v>
      </c>
      <c r="AH14" s="200">
        <v>0</v>
      </c>
      <c r="AI14" s="200">
        <v>0</v>
      </c>
      <c r="AJ14" s="200">
        <v>0</v>
      </c>
      <c r="AK14" s="201"/>
      <c r="AL14" s="200"/>
      <c r="AM14" s="200"/>
      <c r="AN14" s="200"/>
      <c r="AO14" s="200"/>
      <c r="AP14" s="200"/>
      <c r="AQ14" s="201"/>
      <c r="AR14" s="200"/>
      <c r="AS14" s="200"/>
      <c r="AT14" s="200"/>
      <c r="AU14" s="200"/>
      <c r="AV14" s="200"/>
      <c r="AW14" s="201"/>
      <c r="AX14" s="200"/>
      <c r="AY14" s="200"/>
      <c r="AZ14" s="200"/>
      <c r="BA14" s="200"/>
      <c r="BB14" s="200"/>
      <c r="BC14" s="201"/>
      <c r="BD14" s="200"/>
      <c r="BE14" s="200"/>
      <c r="BF14" s="200"/>
      <c r="BG14" s="200"/>
      <c r="BH14" s="200"/>
      <c r="BI14" s="201"/>
      <c r="BJ14" s="200"/>
      <c r="BK14" s="200"/>
      <c r="BL14" s="200"/>
      <c r="BM14" s="200"/>
      <c r="BN14" s="200"/>
      <c r="BO14" s="201"/>
      <c r="BP14" s="200"/>
      <c r="BQ14" s="200"/>
      <c r="BR14" s="200"/>
      <c r="BS14" s="200"/>
      <c r="BT14" s="200"/>
      <c r="BU14" s="201"/>
      <c r="BV14" s="200"/>
      <c r="BW14" s="200"/>
      <c r="BX14" s="200"/>
      <c r="BY14" s="200"/>
      <c r="BZ14" s="200"/>
      <c r="CA14" s="200"/>
      <c r="CB14" s="200"/>
    </row>
    <row r="15" spans="1:221" s="5" customFormat="1" ht="11.1" customHeight="1">
      <c r="A15" s="2" t="s">
        <v>100</v>
      </c>
      <c r="B15" s="2"/>
      <c r="C15" s="202">
        <f>(8+559)/7.45</f>
        <v>76.107382550335572</v>
      </c>
      <c r="D15" s="202">
        <f>(8+734)/7.45</f>
        <v>99.597315436241615</v>
      </c>
      <c r="E15" s="202">
        <f>(19+781)/7.45</f>
        <v>107.38255033557047</v>
      </c>
      <c r="F15" s="202">
        <f>(18+832)/7.45</f>
        <v>114.09395973154362</v>
      </c>
      <c r="G15" s="125">
        <f>SUM(C15:F15)</f>
        <v>397.18120805369125</v>
      </c>
      <c r="H15" s="31"/>
      <c r="I15" s="202">
        <f>(18+752)/7.45</f>
        <v>103.35570469798658</v>
      </c>
      <c r="J15" s="202">
        <f>(18+876)/7.45</f>
        <v>120</v>
      </c>
      <c r="K15" s="202">
        <f>(25+840)/7.45</f>
        <v>116.10738255033557</v>
      </c>
      <c r="L15" s="202">
        <f>(31+893)/7.45</f>
        <v>124.02684563758389</v>
      </c>
      <c r="M15" s="125">
        <f>SUM(I15:L15)</f>
        <v>463.48993288590606</v>
      </c>
      <c r="N15" s="31"/>
      <c r="O15" s="202">
        <v>145.36912751677852</v>
      </c>
      <c r="P15" s="202">
        <v>175.16778523489933</v>
      </c>
      <c r="Q15" s="202">
        <v>166.44295302013421</v>
      </c>
      <c r="R15" s="202">
        <v>170.33557046979865</v>
      </c>
      <c r="S15" s="125">
        <f>SUM(O15:R15)</f>
        <v>657.31543624161077</v>
      </c>
      <c r="T15" s="117"/>
      <c r="U15" s="202">
        <v>159.59731543624162</v>
      </c>
      <c r="V15" s="203">
        <v>186.44295302013421</v>
      </c>
      <c r="W15" s="204">
        <v>179.46308724832215</v>
      </c>
      <c r="X15" s="202">
        <v>173.95973154362414</v>
      </c>
      <c r="Y15" s="116">
        <f>SUM(U15:X15)</f>
        <v>699.46308724832204</v>
      </c>
      <c r="Z15" s="117"/>
      <c r="AA15" s="202">
        <v>131.27516778523488</v>
      </c>
      <c r="AB15" s="203">
        <v>178.25503355704697</v>
      </c>
      <c r="AC15" s="204">
        <v>159.06040268456374</v>
      </c>
      <c r="AD15" s="205">
        <v>155.03355704697987</v>
      </c>
      <c r="AE15" s="116">
        <f>SUM(AA15:AD15)</f>
        <v>623.62416107382546</v>
      </c>
      <c r="AF15" s="117"/>
      <c r="AG15" s="202">
        <v>139.06040268456377</v>
      </c>
      <c r="AH15" s="203">
        <v>184.42953020134229</v>
      </c>
      <c r="AI15" s="204">
        <v>204.83221476510067</v>
      </c>
      <c r="AJ15" s="205">
        <v>216.24161073825502</v>
      </c>
      <c r="AK15" s="116">
        <f>SUM(AG15:AJ15)</f>
        <v>744.56375838926169</v>
      </c>
      <c r="AL15" s="117"/>
      <c r="AM15" s="202">
        <v>170.20134228187919</v>
      </c>
      <c r="AN15" s="203">
        <v>184.83221476510067</v>
      </c>
      <c r="AO15" s="204">
        <v>197.4496644295302</v>
      </c>
      <c r="AP15" s="205">
        <v>203.89261744966441</v>
      </c>
      <c r="AQ15" s="116">
        <f>SUM(AM15:AP15)</f>
        <v>756.37583892617442</v>
      </c>
      <c r="AR15" s="117"/>
      <c r="AS15" s="202">
        <v>149.26174496644296</v>
      </c>
      <c r="AT15" s="203">
        <v>179.06040268456374</v>
      </c>
      <c r="AU15" s="204">
        <v>196.91275167785236</v>
      </c>
      <c r="AV15" s="205">
        <v>202.41610738255034</v>
      </c>
      <c r="AW15" s="116">
        <f>SUM(AS15:AV15)</f>
        <v>727.65100671140942</v>
      </c>
      <c r="AX15" s="117"/>
      <c r="AY15" s="202">
        <v>154.2281879194631</v>
      </c>
      <c r="AZ15" s="203">
        <v>196.37583892617448</v>
      </c>
      <c r="BA15" s="204">
        <v>222.95302013422818</v>
      </c>
      <c r="BB15" s="205">
        <v>234.09395973154361</v>
      </c>
      <c r="BC15" s="116">
        <f>SUM(AY15:BB15)</f>
        <v>807.65100671140931</v>
      </c>
      <c r="BD15" s="117"/>
      <c r="BE15" s="202">
        <v>184.96644295302013</v>
      </c>
      <c r="BF15" s="203">
        <v>202.14765100671141</v>
      </c>
      <c r="BG15" s="204">
        <v>222.41610738255034</v>
      </c>
      <c r="BH15" s="205">
        <v>203.22147651006711</v>
      </c>
      <c r="BI15" s="116">
        <f>SUM(BE15:BH15)</f>
        <v>812.75167785234896</v>
      </c>
      <c r="BJ15" s="117"/>
      <c r="BK15" s="202">
        <v>216.6442953020134</v>
      </c>
      <c r="BL15" s="203">
        <v>233.02013422818791</v>
      </c>
      <c r="BM15" s="204">
        <v>197.31543624161074</v>
      </c>
      <c r="BN15" s="205">
        <v>210.6</v>
      </c>
      <c r="BO15" s="116">
        <f>SUM(BK15:BN15)</f>
        <v>857.57986577181214</v>
      </c>
      <c r="BP15" s="117"/>
      <c r="BQ15" s="202">
        <v>163.30000000000001</v>
      </c>
      <c r="BR15" s="203">
        <v>200.1</v>
      </c>
      <c r="BS15" s="204"/>
      <c r="BT15" s="205"/>
      <c r="BU15" s="116">
        <f>SUM(BQ15:BT15)</f>
        <v>363.4</v>
      </c>
      <c r="BV15" s="117"/>
      <c r="BW15" s="117"/>
      <c r="BX15" s="117"/>
      <c r="BY15" s="117"/>
      <c r="BZ15" s="117"/>
      <c r="CA15" s="117"/>
      <c r="CB15" s="117"/>
      <c r="HH15" s="27"/>
    </row>
    <row r="16" spans="1:221" s="62" customFormat="1" ht="18.75" customHeight="1">
      <c r="A16" s="62" t="s">
        <v>143</v>
      </c>
      <c r="C16" s="206">
        <f>+C13-C6+C15</f>
        <v>240.1342281879194</v>
      </c>
      <c r="D16" s="206">
        <f>+D13-D6+D15</f>
        <v>290.46979865771817</v>
      </c>
      <c r="E16" s="206">
        <f>+E13-E6+E15</f>
        <v>278.79194630872485</v>
      </c>
      <c r="F16" s="206">
        <f>+F13-F6+F15</f>
        <v>288.5906040268456</v>
      </c>
      <c r="G16" s="121">
        <f>+G13-G6+G15</f>
        <v>1097.9865771812081</v>
      </c>
      <c r="H16" s="206"/>
      <c r="I16" s="206">
        <f>+I13-I6+I15</f>
        <v>288.45637583892619</v>
      </c>
      <c r="J16" s="206">
        <f>+J13-J6+J15</f>
        <v>316.510067114094</v>
      </c>
      <c r="K16" s="206">
        <f>+K13-K6+K15</f>
        <v>292.34899328859058</v>
      </c>
      <c r="L16" s="206">
        <f>+L13-L6+L15</f>
        <v>310.73825503355704</v>
      </c>
      <c r="M16" s="121">
        <f>+M13-M6+M15</f>
        <v>1208.0536912751677</v>
      </c>
      <c r="N16" s="206"/>
      <c r="O16" s="206">
        <f>+O13-O6+O15</f>
        <v>340.80536912751683</v>
      </c>
      <c r="P16" s="206">
        <f>+P13-P6+P15</f>
        <v>385.1006711409396</v>
      </c>
      <c r="Q16" s="206">
        <f>+Q13-Q6+Q15</f>
        <v>351.54362416107381</v>
      </c>
      <c r="R16" s="206">
        <f>+R13-R6+R15</f>
        <v>371.94630872483225</v>
      </c>
      <c r="S16" s="121">
        <f>+S13-S6+S15</f>
        <v>1449.3959731543625</v>
      </c>
      <c r="T16" s="206"/>
      <c r="U16" s="206">
        <f>+U13-U6+U15</f>
        <v>362.28187919463085</v>
      </c>
      <c r="V16" s="206">
        <f>+V13-V6+V15</f>
        <v>413.55704697986573</v>
      </c>
      <c r="W16" s="206">
        <f>+W13-W6+W15</f>
        <v>377.7181208053691</v>
      </c>
      <c r="X16" s="206">
        <f>+X13-X6+X15</f>
        <v>359.59731543624162</v>
      </c>
      <c r="Y16" s="121">
        <f>+U16+V16+W16+X16</f>
        <v>1513.1543624161072</v>
      </c>
      <c r="Z16" s="206"/>
      <c r="AA16" s="206">
        <f>+AA13-AA6+AA15</f>
        <v>314.49664429530202</v>
      </c>
      <c r="AB16" s="206">
        <f>+AB13-AB6+AB15</f>
        <v>361.20805369127515</v>
      </c>
      <c r="AC16" s="206">
        <f>+AC13-AC6+AC15</f>
        <v>330.60402684563758</v>
      </c>
      <c r="AD16" s="207">
        <f>+AD13-AD6+AD15</f>
        <v>329.26174496644296</v>
      </c>
      <c r="AE16" s="121">
        <f>+AA16+AB16+AC16+AD16</f>
        <v>1335.5704697986578</v>
      </c>
      <c r="AF16" s="206"/>
      <c r="AG16" s="206">
        <f>+AG13-AG6+AG15</f>
        <v>334.76510067114094</v>
      </c>
      <c r="AH16" s="206">
        <f>+AH13-AH6+AH15</f>
        <v>396.37583892617448</v>
      </c>
      <c r="AI16" s="206">
        <f>+AI13-AI6+AI15</f>
        <v>395.03355704697987</v>
      </c>
      <c r="AJ16" s="207">
        <f>+AJ13-AJ6+AJ15</f>
        <v>414.49664429530202</v>
      </c>
      <c r="AK16" s="121">
        <f>+AG16+AH16+AI16+AJ16</f>
        <v>1540.6711409395973</v>
      </c>
      <c r="AL16" s="206"/>
      <c r="AM16" s="206">
        <f>+AM13-AM6+AM15</f>
        <v>384.29530201342283</v>
      </c>
      <c r="AN16" s="206">
        <f>+AN13-AN6+AN15</f>
        <v>413.02013422818794</v>
      </c>
      <c r="AO16" s="206">
        <f>+AO13-AO6+AO15</f>
        <v>406.30872483221481</v>
      </c>
      <c r="AP16" s="207">
        <f>+AP13-AP6+AP15</f>
        <v>427.3825503355705</v>
      </c>
      <c r="AQ16" s="121">
        <f>+AM16+AN16+AO16+AP16</f>
        <v>1631.0067114093963</v>
      </c>
      <c r="AR16" s="206"/>
      <c r="AS16" s="206">
        <f>+AS13-AS6+AS15</f>
        <v>376.64429530201346</v>
      </c>
      <c r="AT16" s="206">
        <f>+AT13-AT6+AT15</f>
        <v>413.28859060402692</v>
      </c>
      <c r="AU16" s="206">
        <f>+AU13-AU6+AU15</f>
        <v>407.51677852348996</v>
      </c>
      <c r="AV16" s="207">
        <f>+AV13-AV6+AV15</f>
        <v>433.15436241610735</v>
      </c>
      <c r="AW16" s="121">
        <f>+AS16+AT16+AU16+AV16</f>
        <v>1630.6040268456377</v>
      </c>
      <c r="AX16" s="206"/>
      <c r="AY16" s="206">
        <f>+AY13-AY6+AY15</f>
        <v>383.75838926174492</v>
      </c>
      <c r="AZ16" s="206">
        <f>+AZ13-AZ6+AZ15</f>
        <v>438.12080536912748</v>
      </c>
      <c r="BA16" s="206">
        <f>+BA13-BA6+BA15</f>
        <v>440.53691275167785</v>
      </c>
      <c r="BB16" s="206">
        <f>+BB13-BB6+BB15</f>
        <v>461.47651006711408</v>
      </c>
      <c r="BC16" s="121">
        <f>+AY16+AZ16+BA16+BB16</f>
        <v>1723.8926174496644</v>
      </c>
      <c r="BD16" s="206"/>
      <c r="BE16" s="206">
        <f>+BE13-BE6+BE15</f>
        <v>426.71140939597319</v>
      </c>
      <c r="BF16" s="206">
        <f>+BF13-BF6+BF15</f>
        <v>447.91946308724835</v>
      </c>
      <c r="BG16" s="206">
        <f>+BG13-BG6+BG15</f>
        <v>440.40268456375838</v>
      </c>
      <c r="BH16" s="206">
        <f>+BH13-BH6+BH15</f>
        <v>454.09395973154358</v>
      </c>
      <c r="BI16" s="121">
        <f>+BE16+BF16+BG16+BH16</f>
        <v>1769.1275167785234</v>
      </c>
      <c r="BJ16" s="206"/>
      <c r="BK16" s="206">
        <f>+BK13-BK6+BK15</f>
        <v>466.44295302013421</v>
      </c>
      <c r="BL16" s="206">
        <f>+BL13-BL6+BL15</f>
        <v>494.49664429530196</v>
      </c>
      <c r="BM16" s="206">
        <f>+BM13-BM6+BM15</f>
        <v>438.65771812080538</v>
      </c>
      <c r="BN16" s="206">
        <f>+BN13-BN6+BN15</f>
        <v>469.6</v>
      </c>
      <c r="BO16" s="121">
        <f>+BK16+BL16+BM16+BN16</f>
        <v>1869.1973154362418</v>
      </c>
      <c r="BP16" s="206"/>
      <c r="BQ16" s="206">
        <f>+BQ13-BQ6+BQ15</f>
        <v>425.9</v>
      </c>
      <c r="BR16" s="206">
        <f>+BR13-BR6+BR15</f>
        <v>485.49999999999989</v>
      </c>
      <c r="BS16" s="206"/>
      <c r="BT16" s="206"/>
      <c r="BU16" s="121">
        <f>+BQ16+BR16+BS16+BT16</f>
        <v>911.39999999999986</v>
      </c>
      <c r="BV16" s="206"/>
      <c r="BW16" s="206"/>
      <c r="BX16" s="206"/>
      <c r="BY16" s="206"/>
      <c r="BZ16" s="206"/>
      <c r="CA16" s="206"/>
      <c r="CB16" s="206"/>
      <c r="HM16" s="63" t="s">
        <v>54</v>
      </c>
    </row>
    <row r="17" spans="1:80" s="98" customFormat="1" ht="18.75" customHeight="1">
      <c r="C17" s="208"/>
      <c r="D17" s="208"/>
      <c r="E17" s="208"/>
      <c r="F17" s="208"/>
      <c r="G17" s="201"/>
      <c r="H17" s="208"/>
      <c r="I17" s="208"/>
      <c r="J17" s="208"/>
      <c r="K17" s="208"/>
      <c r="L17" s="208"/>
      <c r="M17" s="201"/>
      <c r="N17" s="208"/>
      <c r="O17" s="208"/>
      <c r="P17" s="208"/>
      <c r="Q17" s="208"/>
      <c r="R17" s="208"/>
      <c r="S17" s="201"/>
      <c r="T17" s="208"/>
      <c r="U17" s="208"/>
      <c r="V17" s="208"/>
      <c r="W17" s="208"/>
      <c r="X17" s="208"/>
      <c r="Y17" s="201"/>
      <c r="Z17" s="208"/>
      <c r="AA17" s="208"/>
      <c r="AB17" s="208"/>
      <c r="AC17" s="208"/>
      <c r="AD17" s="209"/>
      <c r="AE17" s="201"/>
      <c r="AF17" s="208"/>
      <c r="AG17" s="208"/>
      <c r="AH17" s="208"/>
      <c r="AI17" s="208"/>
      <c r="AJ17" s="209"/>
      <c r="AK17" s="201"/>
      <c r="AL17" s="208"/>
      <c r="AM17" s="208"/>
      <c r="AN17" s="208"/>
      <c r="AO17" s="208"/>
      <c r="AP17" s="209"/>
      <c r="AQ17" s="201"/>
      <c r="AR17" s="208"/>
      <c r="AS17" s="208"/>
      <c r="AT17" s="208"/>
      <c r="AU17" s="208"/>
      <c r="AV17" s="209"/>
      <c r="AW17" s="201"/>
      <c r="AX17" s="208"/>
      <c r="AY17" s="208"/>
      <c r="AZ17" s="208"/>
      <c r="BA17" s="208"/>
      <c r="BB17" s="209"/>
      <c r="BC17" s="201"/>
      <c r="BD17" s="208"/>
      <c r="BE17" s="208"/>
      <c r="BF17" s="208"/>
      <c r="BG17" s="208"/>
      <c r="BH17" s="209"/>
      <c r="BI17" s="201"/>
      <c r="BJ17" s="208"/>
      <c r="BK17" s="208"/>
      <c r="BL17" s="208"/>
      <c r="BM17" s="208"/>
      <c r="BN17" s="209"/>
      <c r="BO17" s="201"/>
      <c r="BP17" s="208"/>
      <c r="BQ17" s="208"/>
      <c r="BR17" s="208"/>
      <c r="BS17" s="208"/>
      <c r="BT17" s="209"/>
      <c r="BU17" s="201"/>
      <c r="BV17" s="208"/>
      <c r="BW17" s="208"/>
      <c r="BX17" s="208"/>
      <c r="BY17" s="208"/>
      <c r="BZ17" s="208"/>
      <c r="CA17" s="208"/>
      <c r="CB17" s="208"/>
    </row>
    <row r="18" spans="1:80">
      <c r="A18" s="5" t="s">
        <v>149</v>
      </c>
      <c r="C18" s="31"/>
      <c r="D18" s="31"/>
      <c r="E18" s="31"/>
      <c r="F18" s="31"/>
      <c r="G18" s="116"/>
      <c r="H18" s="31"/>
      <c r="I18" s="31"/>
      <c r="J18" s="31"/>
      <c r="K18" s="31"/>
      <c r="L18" s="31"/>
      <c r="M18" s="116"/>
      <c r="N18" s="31"/>
      <c r="O18" s="31"/>
      <c r="P18" s="31"/>
      <c r="Q18" s="31"/>
      <c r="R18" s="31"/>
      <c r="S18" s="116"/>
      <c r="T18" s="31"/>
      <c r="U18" s="31"/>
      <c r="V18" s="31"/>
      <c r="W18" s="31"/>
      <c r="X18" s="31"/>
      <c r="Y18" s="116"/>
      <c r="Z18" s="31"/>
      <c r="AA18" s="31"/>
      <c r="AB18" s="31"/>
      <c r="AC18" s="31"/>
      <c r="AD18" s="197"/>
      <c r="AE18" s="116"/>
      <c r="AF18" s="31"/>
      <c r="AG18" s="31"/>
      <c r="AH18" s="31"/>
      <c r="AI18" s="31"/>
      <c r="AJ18" s="197"/>
      <c r="AK18" s="116"/>
      <c r="AL18" s="31"/>
      <c r="AM18" s="31"/>
      <c r="AN18" s="31"/>
      <c r="AO18" s="31"/>
      <c r="AP18" s="197"/>
      <c r="AQ18" s="116"/>
      <c r="AR18" s="31"/>
      <c r="AS18" s="31"/>
      <c r="AT18" s="31"/>
      <c r="AU18" s="31"/>
      <c r="AV18" s="197"/>
      <c r="AW18" s="116"/>
      <c r="AX18" s="31"/>
      <c r="AY18" s="31"/>
      <c r="AZ18" s="31"/>
      <c r="BA18" s="31"/>
      <c r="BB18" s="197"/>
      <c r="BC18" s="116"/>
      <c r="BD18" s="31"/>
      <c r="BE18" s="31"/>
      <c r="BF18" s="31"/>
      <c r="BG18" s="31"/>
      <c r="BH18" s="197"/>
      <c r="BI18" s="116"/>
      <c r="BJ18" s="31"/>
      <c r="BK18" s="31"/>
      <c r="BL18" s="31"/>
      <c r="BM18" s="31"/>
      <c r="BN18" s="197"/>
      <c r="BO18" s="116"/>
      <c r="BP18" s="31"/>
      <c r="BQ18" s="31"/>
      <c r="BR18" s="31"/>
      <c r="BS18" s="31"/>
      <c r="BT18" s="197"/>
      <c r="BU18" s="116"/>
      <c r="BV18" s="31"/>
      <c r="BW18" s="31"/>
      <c r="BX18" s="31"/>
      <c r="BY18" s="31"/>
      <c r="BZ18" s="31"/>
      <c r="CA18" s="31"/>
      <c r="CB18" s="31"/>
    </row>
    <row r="19" spans="1:80">
      <c r="A19" s="2" t="s">
        <v>101</v>
      </c>
      <c r="C19" s="31"/>
      <c r="D19" s="31"/>
      <c r="E19" s="31"/>
      <c r="F19" s="31"/>
      <c r="G19" s="116"/>
      <c r="H19" s="31"/>
      <c r="I19" s="31"/>
      <c r="J19" s="31"/>
      <c r="K19" s="31"/>
      <c r="L19" s="31"/>
      <c r="M19" s="116"/>
      <c r="N19" s="31"/>
      <c r="O19" s="31"/>
      <c r="P19" s="31"/>
      <c r="Q19" s="31"/>
      <c r="R19" s="31"/>
      <c r="S19" s="116"/>
      <c r="T19" s="31"/>
      <c r="U19" s="31"/>
      <c r="V19" s="31"/>
      <c r="W19" s="31"/>
      <c r="X19" s="31"/>
      <c r="Y19" s="116"/>
      <c r="Z19" s="31"/>
      <c r="AA19" s="31"/>
      <c r="AB19" s="31"/>
      <c r="AC19" s="31"/>
      <c r="AD19" s="197"/>
      <c r="AE19" s="116"/>
      <c r="AF19" s="31"/>
      <c r="AG19" s="31">
        <v>7.9194630872483218</v>
      </c>
      <c r="AH19" s="31">
        <v>11.006711409395972</v>
      </c>
      <c r="AI19" s="31">
        <v>19.060402684563758</v>
      </c>
      <c r="AJ19" s="197">
        <v>6.174496644295302</v>
      </c>
      <c r="AK19" s="116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97">
        <v>9.7986577181208059</v>
      </c>
      <c r="AQ19" s="116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97">
        <v>13.825503355704697</v>
      </c>
      <c r="AW19" s="116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97">
        <v>15.973154362416107</v>
      </c>
      <c r="BC19" s="116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97">
        <v>24.832214765100669</v>
      </c>
      <c r="BI19" s="116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97">
        <v>15.3</v>
      </c>
      <c r="BO19" s="116">
        <f>SUM(BK19:BN19)</f>
        <v>77.044966442953012</v>
      </c>
      <c r="BP19" s="31"/>
      <c r="BQ19" s="31">
        <v>12.1</v>
      </c>
      <c r="BR19" s="31">
        <v>21.5</v>
      </c>
      <c r="BS19" s="31"/>
      <c r="BT19" s="197"/>
      <c r="BU19" s="116">
        <f>SUM(BQ19:BT19)</f>
        <v>33.6</v>
      </c>
      <c r="BV19" s="31"/>
      <c r="BW19" s="31"/>
      <c r="BX19" s="31"/>
      <c r="BY19" s="31"/>
      <c r="BZ19" s="31"/>
      <c r="CA19" s="31"/>
      <c r="CB19" s="31"/>
    </row>
    <row r="20" spans="1:80">
      <c r="A20" s="2" t="s">
        <v>150</v>
      </c>
      <c r="C20" s="31"/>
      <c r="D20" s="31"/>
      <c r="E20" s="31"/>
      <c r="F20" s="31"/>
      <c r="G20" s="116"/>
      <c r="H20" s="31"/>
      <c r="I20" s="31"/>
      <c r="J20" s="31"/>
      <c r="K20" s="31"/>
      <c r="L20" s="31"/>
      <c r="M20" s="116"/>
      <c r="N20" s="31"/>
      <c r="O20" s="31"/>
      <c r="P20" s="31"/>
      <c r="Q20" s="31"/>
      <c r="R20" s="31"/>
      <c r="S20" s="116"/>
      <c r="T20" s="31"/>
      <c r="U20" s="31"/>
      <c r="V20" s="31"/>
      <c r="W20" s="31"/>
      <c r="X20" s="31"/>
      <c r="Y20" s="116"/>
      <c r="Z20" s="31"/>
      <c r="AA20" s="31"/>
      <c r="AB20" s="31"/>
      <c r="AC20" s="31"/>
      <c r="AD20" s="197"/>
      <c r="AE20" s="116"/>
      <c r="AF20" s="31"/>
      <c r="AG20" s="31">
        <v>23.087248322147651</v>
      </c>
      <c r="AH20" s="31">
        <v>25.503355704697984</v>
      </c>
      <c r="AI20" s="31">
        <v>17.449664429530202</v>
      </c>
      <c r="AJ20" s="197">
        <v>16.107382550335569</v>
      </c>
      <c r="AK20" s="116">
        <f t="shared" ref="AK20:AK23" si="12"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97">
        <v>25.503355704697984</v>
      </c>
      <c r="AQ20" s="116">
        <f t="shared" ref="AQ20:AQ23" si="13"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97">
        <v>28.590604026845636</v>
      </c>
      <c r="AW20" s="116">
        <f t="shared" ref="AW20:AW23" si="14"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97">
        <v>28.187919463087248</v>
      </c>
      <c r="BC20" s="116">
        <f t="shared" ref="BC20:BC23" si="15"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97">
        <v>30.469798657718119</v>
      </c>
      <c r="BI20" s="116">
        <f t="shared" ref="BI20:BI23" si="16"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97">
        <v>23.3</v>
      </c>
      <c r="BO20" s="116">
        <f t="shared" ref="BO20:BO23" si="17">SUM(BK20:BN20)</f>
        <v>97.930872483221478</v>
      </c>
      <c r="BP20" s="31"/>
      <c r="BQ20" s="31">
        <v>27.201000000000001</v>
      </c>
      <c r="BR20" s="31">
        <v>32.5</v>
      </c>
      <c r="BS20" s="31"/>
      <c r="BT20" s="197"/>
      <c r="BU20" s="116">
        <f t="shared" ref="BU20:BU23" si="18">SUM(BQ20:BT20)</f>
        <v>59.701000000000001</v>
      </c>
      <c r="BV20" s="31"/>
      <c r="BW20" s="31"/>
      <c r="BX20" s="31"/>
      <c r="BY20" s="31"/>
      <c r="BZ20" s="31"/>
      <c r="CA20" s="31"/>
      <c r="CB20" s="31"/>
    </row>
    <row r="21" spans="1:80">
      <c r="A21" s="2" t="s">
        <v>117</v>
      </c>
      <c r="C21" s="31"/>
      <c r="D21" s="31"/>
      <c r="E21" s="31"/>
      <c r="F21" s="31"/>
      <c r="G21" s="116"/>
      <c r="H21" s="31"/>
      <c r="I21" s="31"/>
      <c r="J21" s="31"/>
      <c r="K21" s="31"/>
      <c r="L21" s="31"/>
      <c r="M21" s="116"/>
      <c r="N21" s="31"/>
      <c r="O21" s="31"/>
      <c r="P21" s="31"/>
      <c r="Q21" s="31"/>
      <c r="R21" s="31"/>
      <c r="S21" s="116"/>
      <c r="T21" s="31"/>
      <c r="U21" s="31"/>
      <c r="V21" s="31"/>
      <c r="W21" s="31"/>
      <c r="X21" s="31"/>
      <c r="Y21" s="116"/>
      <c r="Z21" s="31"/>
      <c r="AA21" s="31"/>
      <c r="AB21" s="31"/>
      <c r="AC21" s="31"/>
      <c r="AD21" s="197"/>
      <c r="AE21" s="116"/>
      <c r="AF21" s="31"/>
      <c r="AG21" s="31">
        <v>2.2818791946308723</v>
      </c>
      <c r="AH21" s="31">
        <v>3.087248322147651</v>
      </c>
      <c r="AI21" s="31">
        <v>2.2818791946308723</v>
      </c>
      <c r="AJ21" s="197">
        <v>4.4295302013422821</v>
      </c>
      <c r="AK21" s="116">
        <f t="shared" si="12"/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97">
        <v>2.6845637583892619</v>
      </c>
      <c r="AQ21" s="116">
        <f t="shared" si="13"/>
        <v>21.208053691275168</v>
      </c>
      <c r="AR21" s="31"/>
      <c r="AS21" s="31"/>
      <c r="AT21" s="31"/>
      <c r="AU21" s="31"/>
      <c r="AV21" s="197"/>
      <c r="AW21" s="116">
        <f t="shared" si="14"/>
        <v>0</v>
      </c>
      <c r="AX21" s="31"/>
      <c r="AY21" s="31"/>
      <c r="AZ21" s="31"/>
      <c r="BA21" s="31"/>
      <c r="BB21" s="197"/>
      <c r="BC21" s="116">
        <f t="shared" si="15"/>
        <v>0</v>
      </c>
      <c r="BD21" s="31"/>
      <c r="BE21" s="31"/>
      <c r="BF21" s="31"/>
      <c r="BG21" s="31"/>
      <c r="BH21" s="197"/>
      <c r="BI21" s="116">
        <f t="shared" si="16"/>
        <v>0</v>
      </c>
      <c r="BJ21" s="31"/>
      <c r="BK21" s="31"/>
      <c r="BL21" s="31"/>
      <c r="BM21" s="31"/>
      <c r="BN21" s="197"/>
      <c r="BO21" s="116">
        <f t="shared" si="17"/>
        <v>0</v>
      </c>
      <c r="BP21" s="31"/>
      <c r="BQ21" s="31"/>
      <c r="BR21" s="31"/>
      <c r="BS21" s="31"/>
      <c r="BT21" s="197"/>
      <c r="BU21" s="116">
        <f t="shared" si="18"/>
        <v>0</v>
      </c>
      <c r="BV21" s="31"/>
      <c r="BW21" s="31"/>
      <c r="BX21" s="31"/>
      <c r="BY21" s="31"/>
      <c r="BZ21" s="31"/>
      <c r="CA21" s="31"/>
      <c r="CB21" s="31"/>
    </row>
    <row r="22" spans="1:80">
      <c r="A22" s="2" t="s">
        <v>99</v>
      </c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197"/>
      <c r="AE22" s="116"/>
      <c r="AF22" s="31"/>
      <c r="AG22" s="31">
        <v>-0.80536912751677847</v>
      </c>
      <c r="AH22" s="31">
        <v>-0.67114093959731547</v>
      </c>
      <c r="AI22" s="31">
        <v>-0.26845637583892618</v>
      </c>
      <c r="AJ22" s="197">
        <v>0.26845637583892618</v>
      </c>
      <c r="AK22" s="116">
        <f t="shared" si="12"/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97">
        <v>0.93959731543624159</v>
      </c>
      <c r="AQ22" s="116">
        <f t="shared" si="13"/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97">
        <v>2.0134228187919461</v>
      </c>
      <c r="AW22" s="116">
        <f t="shared" si="14"/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97">
        <v>1.3422818791946309</v>
      </c>
      <c r="BC22" s="116">
        <f t="shared" si="15"/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97">
        <v>2.9530201342281877</v>
      </c>
      <c r="BI22" s="116">
        <f t="shared" si="16"/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97">
        <v>3</v>
      </c>
      <c r="BO22" s="116">
        <f t="shared" si="17"/>
        <v>3.6711409395973154</v>
      </c>
      <c r="BP22" s="31"/>
      <c r="BQ22" s="31">
        <v>-0.3</v>
      </c>
      <c r="BR22" s="31">
        <v>-0.3</v>
      </c>
      <c r="BS22" s="31"/>
      <c r="BT22" s="197"/>
      <c r="BU22" s="116">
        <f t="shared" si="18"/>
        <v>-0.6</v>
      </c>
      <c r="BV22" s="31"/>
      <c r="BW22" s="31"/>
      <c r="BX22" s="31"/>
      <c r="BY22" s="31"/>
      <c r="BZ22" s="31"/>
      <c r="CA22" s="31"/>
      <c r="CB22" s="31"/>
    </row>
    <row r="23" spans="1:80">
      <c r="A23" s="2" t="s">
        <v>72</v>
      </c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197"/>
      <c r="AE23" s="116"/>
      <c r="AF23" s="31"/>
      <c r="AG23" s="31">
        <v>-0.93959731543624159</v>
      </c>
      <c r="AH23" s="31">
        <v>-1.0738255033557047</v>
      </c>
      <c r="AI23" s="31">
        <v>-1.3422818791946309</v>
      </c>
      <c r="AJ23" s="197">
        <v>-1.0738255033557047</v>
      </c>
      <c r="AK23" s="116">
        <f t="shared" si="12"/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97">
        <v>-1.2080536912751678</v>
      </c>
      <c r="AQ23" s="116">
        <f t="shared" si="13"/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97">
        <v>-1.3422818791946309</v>
      </c>
      <c r="AW23" s="116">
        <f t="shared" si="14"/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97">
        <v>-0.93959731543624159</v>
      </c>
      <c r="BC23" s="116">
        <f t="shared" si="15"/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97">
        <v>-1.7449664429530201</v>
      </c>
      <c r="BI23" s="116">
        <f t="shared" si="16"/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97">
        <v>-0.6</v>
      </c>
      <c r="BO23" s="116">
        <f t="shared" si="17"/>
        <v>-3.4187919463087248</v>
      </c>
      <c r="BP23" s="31"/>
      <c r="BQ23" s="31">
        <v>-0.7</v>
      </c>
      <c r="BR23" s="31">
        <v>-0.8</v>
      </c>
      <c r="BS23" s="31"/>
      <c r="BT23" s="197"/>
      <c r="BU23" s="116">
        <f t="shared" si="18"/>
        <v>-1.5</v>
      </c>
      <c r="BV23" s="31"/>
      <c r="BW23" s="31"/>
      <c r="BX23" s="31"/>
      <c r="BY23" s="31"/>
      <c r="BZ23" s="31"/>
      <c r="CA23" s="31"/>
      <c r="CB23" s="31"/>
    </row>
    <row r="24" spans="1:80" s="71" customFormat="1">
      <c r="A24" s="61"/>
      <c r="C24" s="123"/>
      <c r="D24" s="123"/>
      <c r="E24" s="123"/>
      <c r="F24" s="123"/>
      <c r="G24" s="121"/>
      <c r="H24" s="123"/>
      <c r="I24" s="123"/>
      <c r="J24" s="123"/>
      <c r="K24" s="123"/>
      <c r="L24" s="123"/>
      <c r="M24" s="121"/>
      <c r="N24" s="123"/>
      <c r="O24" s="123"/>
      <c r="P24" s="123"/>
      <c r="Q24" s="123"/>
      <c r="R24" s="123"/>
      <c r="S24" s="121"/>
      <c r="T24" s="123"/>
      <c r="U24" s="123"/>
      <c r="V24" s="123"/>
      <c r="W24" s="123"/>
      <c r="X24" s="123"/>
      <c r="Y24" s="121"/>
      <c r="Z24" s="123"/>
      <c r="AA24" s="123"/>
      <c r="AB24" s="123"/>
      <c r="AC24" s="123"/>
      <c r="AD24" s="210"/>
      <c r="AE24" s="121"/>
      <c r="AF24" s="123"/>
      <c r="AG24" s="120">
        <f>SUM(AG18:AG23)</f>
        <v>31.543624161073826</v>
      </c>
      <c r="AH24" s="120">
        <f>SUM(AH18:AH23)</f>
        <v>37.852348993288587</v>
      </c>
      <c r="AI24" s="120">
        <f>SUM(AI18:AI23)</f>
        <v>37.181208053691279</v>
      </c>
      <c r="AJ24" s="120">
        <f>SUM(AJ18:AJ23)</f>
        <v>25.906040268456376</v>
      </c>
      <c r="AK24" s="121">
        <f>SUM(AK18:AK23)</f>
        <v>132.48322147651004</v>
      </c>
      <c r="AL24" s="123"/>
      <c r="AM24" s="120">
        <f>SUM(AM18:AM23)</f>
        <v>29.664429530201346</v>
      </c>
      <c r="AN24" s="120">
        <f>SUM(AN18:AN23)</f>
        <v>29.261744966442954</v>
      </c>
      <c r="AO24" s="120">
        <f>SUM(AO18:AO23)</f>
        <v>42.416107382550337</v>
      </c>
      <c r="AP24" s="120">
        <f>SUM(AP18:AP23)</f>
        <v>37.718120805369125</v>
      </c>
      <c r="AQ24" s="121">
        <f>SUM(AQ18:AQ23)</f>
        <v>139.06040268456377</v>
      </c>
      <c r="AR24" s="123"/>
      <c r="AS24" s="120">
        <f>SUM(AS18:AS23)</f>
        <v>30.738255033557046</v>
      </c>
      <c r="AT24" s="120">
        <f>SUM(AT18:AT23)</f>
        <v>31.94630872483221</v>
      </c>
      <c r="AU24" s="120">
        <f>SUM(AU18:AU23)</f>
        <v>33.691275167785236</v>
      </c>
      <c r="AV24" s="120">
        <f>SUM(AV18:AV23)</f>
        <v>43.087248322147651</v>
      </c>
      <c r="AW24" s="121">
        <f>SUM(AW18:AW23)</f>
        <v>139.46308724832213</v>
      </c>
      <c r="AX24" s="123"/>
      <c r="AY24" s="120">
        <f>SUM(AY18:AY23)</f>
        <v>29.127516778523493</v>
      </c>
      <c r="AZ24" s="120">
        <f>SUM(AZ18:AZ23)</f>
        <v>37.583892617449663</v>
      </c>
      <c r="BA24" s="120">
        <f>SUM(BA18:BA23)</f>
        <v>34.36241610738255</v>
      </c>
      <c r="BB24" s="120">
        <f>SUM(BB18:BB23)</f>
        <v>44.563758389261736</v>
      </c>
      <c r="BC24" s="121">
        <f>SUM(BC18:BC23)</f>
        <v>145.63758389261744</v>
      </c>
      <c r="BD24" s="123"/>
      <c r="BE24" s="120">
        <f>SUM(BE18:BE23)</f>
        <v>34.09395973154362</v>
      </c>
      <c r="BF24" s="120">
        <f>SUM(BF18:BF23)</f>
        <v>43.355704697986575</v>
      </c>
      <c r="BG24" s="120">
        <f>SUM(BG18:BG23)</f>
        <v>36.375838926174495</v>
      </c>
      <c r="BH24" s="120">
        <f>SUM(BH18:BH23)</f>
        <v>56.510067114093957</v>
      </c>
      <c r="BI24" s="121">
        <f>SUM(BI18:BI23)</f>
        <v>170.33557046979863</v>
      </c>
      <c r="BJ24" s="123"/>
      <c r="BK24" s="120">
        <f>SUM(BK18:BK23)</f>
        <v>37.986577181208055</v>
      </c>
      <c r="BL24" s="120">
        <f>SUM(BL18:BL23)</f>
        <v>59.194630872483216</v>
      </c>
      <c r="BM24" s="120">
        <f>SUM(BM18:BM23)</f>
        <v>37.046979865771817</v>
      </c>
      <c r="BN24" s="120">
        <f>SUM(BN18:BN23)</f>
        <v>41</v>
      </c>
      <c r="BO24" s="121">
        <f>SUM(BO18:BO23)</f>
        <v>175.2281879194631</v>
      </c>
      <c r="BP24" s="123"/>
      <c r="BQ24" s="120">
        <f>SUM(BQ18:BQ23)</f>
        <v>38.301000000000002</v>
      </c>
      <c r="BR24" s="120">
        <f>SUM(BR18:BR23)</f>
        <v>52.900000000000006</v>
      </c>
      <c r="BS24" s="120"/>
      <c r="BT24" s="120"/>
      <c r="BU24" s="121">
        <f>SUM(BU18:BU23)</f>
        <v>91.201000000000008</v>
      </c>
      <c r="BV24" s="123"/>
      <c r="BW24" s="123"/>
      <c r="BX24" s="123"/>
      <c r="BY24" s="123"/>
      <c r="BZ24" s="123"/>
      <c r="CA24" s="123"/>
      <c r="CB24" s="123"/>
    </row>
    <row r="25" spans="1:80" s="89" customFormat="1" ht="18.75" customHeight="1">
      <c r="A25" s="92" t="s">
        <v>145</v>
      </c>
      <c r="C25" s="90"/>
      <c r="D25" s="90"/>
      <c r="E25" s="90"/>
      <c r="F25" s="90"/>
      <c r="G25" s="76"/>
      <c r="I25" s="90"/>
      <c r="J25" s="90"/>
      <c r="K25" s="90"/>
      <c r="L25" s="90"/>
      <c r="M25" s="76"/>
      <c r="O25" s="90"/>
      <c r="P25" s="90"/>
      <c r="Q25" s="90"/>
      <c r="R25" s="90"/>
      <c r="S25" s="76"/>
      <c r="U25" s="90"/>
      <c r="V25" s="90"/>
      <c r="W25" s="90"/>
      <c r="X25" s="90"/>
      <c r="Y25" s="76"/>
      <c r="AA25" s="90"/>
      <c r="AB25" s="90"/>
      <c r="AC25" s="90"/>
      <c r="AD25" s="97"/>
      <c r="AE25" s="76"/>
      <c r="AG25" s="99">
        <f>+AG24/AG16</f>
        <v>9.4226142742582203E-2</v>
      </c>
      <c r="AH25" s="99">
        <f t="shared" ref="AH25:AK25" si="19">+AH24/AH16</f>
        <v>9.5496105655265826E-2</v>
      </c>
      <c r="AI25" s="99">
        <f t="shared" si="19"/>
        <v>9.4121644580360181E-2</v>
      </c>
      <c r="AJ25" s="99">
        <f t="shared" si="19"/>
        <v>6.25E-2</v>
      </c>
      <c r="AK25" s="100">
        <f t="shared" si="19"/>
        <v>8.5990590695243049E-2</v>
      </c>
      <c r="AM25" s="99">
        <f>+AM24/AM16</f>
        <v>7.7191756898358374E-2</v>
      </c>
      <c r="AN25" s="99">
        <f t="shared" ref="AN25" si="20">+AN24/AN16</f>
        <v>7.0848228794280141E-2</v>
      </c>
      <c r="AO25" s="99">
        <f t="shared" ref="AO25" si="21">+AO24/AO16</f>
        <v>0.10439378923026098</v>
      </c>
      <c r="AP25" s="99">
        <f t="shared" ref="AP25" si="22">+AP24/AP16</f>
        <v>8.8253768844221092E-2</v>
      </c>
      <c r="AQ25" s="100">
        <f t="shared" ref="AQ25" si="23">+AQ24/AQ16</f>
        <v>8.5260472389103767E-2</v>
      </c>
      <c r="AS25" s="99">
        <f>+AS24/AS16</f>
        <v>8.1610833927298634E-2</v>
      </c>
      <c r="AT25" s="99">
        <f t="shared" ref="AT25" si="24">+AT24/AT16</f>
        <v>7.7297823968821025E-2</v>
      </c>
      <c r="AU25" s="99">
        <f t="shared" ref="AU25" si="25">+AU24/AU16</f>
        <v>8.2674571805006578E-2</v>
      </c>
      <c r="AV25" s="99">
        <f t="shared" ref="AV25" si="26">+AV24/AV16</f>
        <v>9.9473194917880398E-2</v>
      </c>
      <c r="AW25" s="100">
        <f t="shared" ref="AW25" si="27">+AW24/AW16</f>
        <v>8.5528482054659183E-2</v>
      </c>
      <c r="AY25" s="99">
        <f>+AY24/AY16</f>
        <v>7.5900664568030796E-2</v>
      </c>
      <c r="AZ25" s="99">
        <f t="shared" ref="AZ25" si="28">+AZ24/AZ16</f>
        <v>8.5784313725490197E-2</v>
      </c>
      <c r="BA25" s="99">
        <f t="shared" ref="BA25" si="29">+BA24/BA16</f>
        <v>7.8001218769043271E-2</v>
      </c>
      <c r="BB25" s="99">
        <f t="shared" ref="BB25" si="30">+BB24/BB16</f>
        <v>9.6567771960442098E-2</v>
      </c>
      <c r="BC25" s="100">
        <f t="shared" ref="BC25" si="31">+BC24/BC16</f>
        <v>8.448181888966752E-2</v>
      </c>
      <c r="BE25" s="99">
        <f>+BE24/BE16</f>
        <v>7.9899339414910328E-2</v>
      </c>
      <c r="BF25" s="99">
        <f t="shared" ref="BF25" si="32">+BF24/BF16</f>
        <v>9.679352712016781E-2</v>
      </c>
      <c r="BG25" s="99">
        <f t="shared" ref="BG25" si="33">+BG24/BG16</f>
        <v>8.2596769277659243E-2</v>
      </c>
      <c r="BH25" s="99">
        <f t="shared" ref="BH25" si="34">+BH24/BH16</f>
        <v>0.1244457582027786</v>
      </c>
      <c r="BI25" s="100">
        <f t="shared" ref="BI25" si="35">+BI24/BI16</f>
        <v>9.6282245827010615E-2</v>
      </c>
      <c r="BK25" s="99">
        <f>+BK24/BK16</f>
        <v>8.143884892086331E-2</v>
      </c>
      <c r="BL25" s="99">
        <f>+BL24/BL16</f>
        <v>0.11970684039087948</v>
      </c>
      <c r="BM25" s="99">
        <f>+BM24/BM16</f>
        <v>8.4455324357405145E-2</v>
      </c>
      <c r="BN25" s="99">
        <v>8.7999999999999995E-2</v>
      </c>
      <c r="BO25" s="100">
        <f t="shared" ref="BO25" si="36">+BO24/BO16</f>
        <v>9.3745152784240726E-2</v>
      </c>
      <c r="BQ25" s="101">
        <f>+BQ24/BQ16</f>
        <v>8.9929560929795732E-2</v>
      </c>
      <c r="BR25" s="101">
        <f>+BR24/BR16</f>
        <v>0.10895983522142125</v>
      </c>
      <c r="BS25" s="99"/>
      <c r="BT25" s="99"/>
      <c r="BU25" s="100">
        <f t="shared" ref="BU25" si="37">+BU24/BU16</f>
        <v>0.1000669299978056</v>
      </c>
    </row>
    <row r="26" spans="1:80" ht="18.75" customHeight="1">
      <c r="A26" s="5" t="s">
        <v>146</v>
      </c>
      <c r="C26" s="7"/>
      <c r="D26" s="7"/>
      <c r="E26" s="7"/>
      <c r="F26" s="7"/>
      <c r="G26" s="47"/>
      <c r="I26" s="7"/>
      <c r="J26" s="7"/>
      <c r="K26" s="7"/>
      <c r="L26" s="7"/>
      <c r="M26" s="47"/>
      <c r="O26" s="7"/>
      <c r="P26" s="7"/>
      <c r="Q26" s="7"/>
      <c r="R26" s="7"/>
      <c r="S26" s="47"/>
      <c r="U26" s="7"/>
      <c r="V26" s="7"/>
      <c r="W26" s="7"/>
      <c r="X26" s="7"/>
      <c r="Y26" s="47"/>
      <c r="AA26" s="7"/>
      <c r="AB26" s="7"/>
      <c r="AC26" s="7"/>
      <c r="AD26" s="19"/>
      <c r="AE26" s="47"/>
      <c r="AG26" s="28">
        <f>+AG19/AG15</f>
        <v>5.694980694980694E-2</v>
      </c>
      <c r="AH26" s="28">
        <f t="shared" ref="AH26:AK26" si="38">+AH19/AH15</f>
        <v>5.967976710334788E-2</v>
      </c>
      <c r="AI26" s="28">
        <f t="shared" si="38"/>
        <v>9.3053735255570119E-2</v>
      </c>
      <c r="AJ26" s="28">
        <f t="shared" si="38"/>
        <v>2.8553693358162633E-2</v>
      </c>
      <c r="AK26" s="95">
        <f t="shared" si="38"/>
        <v>5.9311339462772665E-2</v>
      </c>
      <c r="AM26" s="28">
        <f>+AM19/AM15</f>
        <v>2.2082018927444793E-2</v>
      </c>
      <c r="AN26" s="28">
        <f t="shared" ref="AN26:AQ26" si="39">+AN19/AN15</f>
        <v>6.5359477124183009E-3</v>
      </c>
      <c r="AO26" s="28">
        <f t="shared" si="39"/>
        <v>4.894629503738953E-2</v>
      </c>
      <c r="AP26" s="28">
        <f t="shared" si="39"/>
        <v>4.8057932850559586E-2</v>
      </c>
      <c r="AQ26" s="95">
        <f t="shared" si="39"/>
        <v>3.2298136645962733E-2</v>
      </c>
      <c r="AS26" s="28">
        <f>+AS19/AS15</f>
        <v>3.5971223021582732E-2</v>
      </c>
      <c r="AT26" s="28">
        <f t="shared" ref="AT26:AW26" si="40">+AT19/AT15</f>
        <v>3.3733133433283359E-2</v>
      </c>
      <c r="AU26" s="28">
        <f t="shared" si="40"/>
        <v>6.9529652351738233E-2</v>
      </c>
      <c r="AV26" s="28">
        <f t="shared" si="40"/>
        <v>6.830238726790451E-2</v>
      </c>
      <c r="AW26" s="95">
        <f t="shared" si="40"/>
        <v>5.3495665006456368E-2</v>
      </c>
      <c r="AY26" s="28">
        <f>+AY19/AY15</f>
        <v>3.7423846823324627E-2</v>
      </c>
      <c r="AZ26" s="28">
        <f t="shared" ref="AZ26:BC26" si="41">+AZ19/AZ15</f>
        <v>4.784688995215311E-2</v>
      </c>
      <c r="BA26" s="28">
        <f t="shared" si="41"/>
        <v>6.2010836845273927E-2</v>
      </c>
      <c r="BB26" s="28">
        <f t="shared" si="41"/>
        <v>6.8233944954128448E-2</v>
      </c>
      <c r="BC26" s="95">
        <f t="shared" si="41"/>
        <v>5.5675585840119668E-2</v>
      </c>
      <c r="BE26" s="28">
        <f>+BE19/BE15</f>
        <v>3.5558780841799711E-2</v>
      </c>
      <c r="BF26" s="28">
        <f t="shared" ref="BF26:BI26" si="42">+BF19/BF15</f>
        <v>7.6361221779548474E-2</v>
      </c>
      <c r="BG26" s="28">
        <f t="shared" si="42"/>
        <v>8.1472540736270374E-2</v>
      </c>
      <c r="BH26" s="28">
        <f t="shared" si="42"/>
        <v>0.12219286657859973</v>
      </c>
      <c r="BI26" s="95">
        <f t="shared" si="42"/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95">
        <f t="shared" ref="BO26" si="43">+BO19/BO15</f>
        <v>8.983998985752005E-2</v>
      </c>
      <c r="BQ26" s="29">
        <f>+BQ19/BQ15</f>
        <v>7.4096754439681556E-2</v>
      </c>
      <c r="BR26" s="29">
        <v>0.108</v>
      </c>
      <c r="BS26" s="28"/>
      <c r="BT26" s="28"/>
      <c r="BU26" s="95">
        <f>+BU19/BU15+0.001</f>
        <v>9.3460099064391872E-2</v>
      </c>
    </row>
    <row r="27" spans="1:80" ht="18.75" customHeight="1">
      <c r="A27" s="5" t="s">
        <v>148</v>
      </c>
      <c r="C27" s="7"/>
      <c r="D27" s="7"/>
      <c r="E27" s="7"/>
      <c r="F27" s="7"/>
      <c r="G27" s="47"/>
      <c r="I27" s="7"/>
      <c r="J27" s="7"/>
      <c r="K27" s="7"/>
      <c r="L27" s="7"/>
      <c r="M27" s="47"/>
      <c r="O27" s="7"/>
      <c r="P27" s="7"/>
      <c r="Q27" s="7"/>
      <c r="R27" s="7"/>
      <c r="S27" s="47"/>
      <c r="U27" s="7"/>
      <c r="V27" s="7"/>
      <c r="W27" s="7"/>
      <c r="X27" s="7"/>
      <c r="Y27" s="47"/>
      <c r="AA27" s="7"/>
      <c r="AB27" s="7"/>
      <c r="AC27" s="7"/>
      <c r="AD27" s="19"/>
      <c r="AE27" s="47"/>
      <c r="AG27" s="28">
        <f>+AG20/AG7</f>
        <v>0.12129760225669958</v>
      </c>
      <c r="AH27" s="28">
        <f t="shared" ref="AH27:AK27" si="44">+AH20/AH7</f>
        <v>0.12402088772845953</v>
      </c>
      <c r="AI27" s="28">
        <f t="shared" si="44"/>
        <v>9.4752186588921275E-2</v>
      </c>
      <c r="AJ27" s="28">
        <f t="shared" si="44"/>
        <v>8.4210526315789472E-2</v>
      </c>
      <c r="AK27" s="95">
        <f t="shared" si="44"/>
        <v>0.10649034278754134</v>
      </c>
      <c r="AM27" s="28">
        <f>+AM20/AM7</f>
        <v>0.1166237113402062</v>
      </c>
      <c r="AN27" s="28">
        <f t="shared" ref="AN27:AQ27" si="45">+AN20/AN7</f>
        <v>0.12113870381586918</v>
      </c>
      <c r="AO27" s="28">
        <f t="shared" si="45"/>
        <v>0.10726182544970021</v>
      </c>
      <c r="AP27" s="28">
        <f t="shared" si="45"/>
        <v>0.11852776044915782</v>
      </c>
      <c r="AQ27" s="95">
        <f t="shared" si="45"/>
        <v>0.11606151894720153</v>
      </c>
      <c r="AS27" s="28">
        <f>+AS20/AS7</f>
        <v>0.11980440097799511</v>
      </c>
      <c r="AT27" s="28">
        <f t="shared" ref="AT27:AW27" si="46">+AT20/AT7</f>
        <v>0.12285883047844064</v>
      </c>
      <c r="AU27" s="28">
        <f t="shared" si="46"/>
        <v>0.10415293342122611</v>
      </c>
      <c r="AV27" s="28">
        <f t="shared" si="46"/>
        <v>0.12948328267477202</v>
      </c>
      <c r="AW27" s="95">
        <f t="shared" si="46"/>
        <v>0.11939608688953936</v>
      </c>
      <c r="AY27" s="28">
        <f>+AY20/AY7</f>
        <v>0.113595166163142</v>
      </c>
      <c r="AZ27" s="28">
        <f t="shared" ref="AZ27:BC27" si="47">+AZ20/AZ7</f>
        <v>0.12866168868466399</v>
      </c>
      <c r="BA27" s="28">
        <f t="shared" si="47"/>
        <v>0.10025706940874037</v>
      </c>
      <c r="BB27" s="28">
        <f t="shared" si="47"/>
        <v>0.1305158483530143</v>
      </c>
      <c r="BC27" s="95">
        <f t="shared" si="47"/>
        <v>0.11857948483462888</v>
      </c>
      <c r="BE27" s="28">
        <f>+BE20/BE7</f>
        <v>0.12262521588946459</v>
      </c>
      <c r="BF27" s="28">
        <f t="shared" ref="BF27:BI27" si="48">+BF20/BF7</f>
        <v>0.1236528644356211</v>
      </c>
      <c r="BG27" s="28">
        <f t="shared" si="48"/>
        <v>9.0442591404746614E-2</v>
      </c>
      <c r="BH27" s="28">
        <f t="shared" si="48"/>
        <v>0.12774338773213281</v>
      </c>
      <c r="BI27" s="95">
        <f t="shared" si="48"/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95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/>
      <c r="BT27" s="28"/>
      <c r="BU27" s="95">
        <f>+BU20/BU7</f>
        <v>0.11224102274863697</v>
      </c>
    </row>
    <row r="28" spans="1:80" ht="18.75" customHeight="1">
      <c r="A28" s="5" t="s">
        <v>147</v>
      </c>
      <c r="C28" s="7"/>
      <c r="D28" s="7"/>
      <c r="E28" s="7"/>
      <c r="F28" s="7"/>
      <c r="G28" s="47"/>
      <c r="I28" s="7"/>
      <c r="J28" s="7"/>
      <c r="K28" s="7"/>
      <c r="L28" s="7"/>
      <c r="M28" s="47"/>
      <c r="O28" s="7"/>
      <c r="P28" s="7"/>
      <c r="Q28" s="7"/>
      <c r="R28" s="7"/>
      <c r="S28" s="47"/>
      <c r="U28" s="7"/>
      <c r="V28" s="7"/>
      <c r="W28" s="7"/>
      <c r="X28" s="7"/>
      <c r="Y28" s="47"/>
      <c r="AA28" s="7"/>
      <c r="AB28" s="7"/>
      <c r="AC28" s="7"/>
      <c r="AD28" s="19"/>
      <c r="AE28" s="47"/>
      <c r="AG28" s="28"/>
      <c r="AH28" s="7"/>
      <c r="AI28" s="7"/>
      <c r="AJ28" s="19"/>
      <c r="AK28" s="47"/>
      <c r="AM28" s="28">
        <f t="shared" ref="AM28:AP28" si="49">+AM22/AM10</f>
        <v>-0.18604651162790697</v>
      </c>
      <c r="AN28" s="28">
        <f t="shared" si="49"/>
        <v>-0.02</v>
      </c>
      <c r="AO28" s="28">
        <f t="shared" si="49"/>
        <v>5.4545454545454543E-2</v>
      </c>
      <c r="AP28" s="28">
        <f t="shared" si="49"/>
        <v>0.11290322580645161</v>
      </c>
      <c r="AQ28" s="95">
        <f>+AQ22/AQ10</f>
        <v>4.7619047619047589E-3</v>
      </c>
      <c r="AS28" s="28">
        <f t="shared" ref="AS28:AV28" si="50">+AS22/AS10</f>
        <v>-1.6949152542372881E-2</v>
      </c>
      <c r="AT28" s="28">
        <f t="shared" si="50"/>
        <v>-7.6923076923076927E-2</v>
      </c>
      <c r="AU28" s="28">
        <f t="shared" si="50"/>
        <v>-1.9607843137254905E-2</v>
      </c>
      <c r="AV28" s="28">
        <f t="shared" si="50"/>
        <v>0.19999999999999998</v>
      </c>
      <c r="AW28" s="95">
        <f>+AW22/AW10</f>
        <v>3.7974683544303785E-2</v>
      </c>
      <c r="AY28" s="28">
        <f t="shared" ref="AY28:BB28" si="51">+AY22/AY10</f>
        <v>-9.0909090909090925E-2</v>
      </c>
      <c r="AZ28" s="28">
        <f t="shared" si="51"/>
        <v>-1.6129032258064516E-2</v>
      </c>
      <c r="BA28" s="28">
        <f t="shared" si="51"/>
        <v>3.2258064516129031E-2</v>
      </c>
      <c r="BB28" s="28">
        <f t="shared" si="51"/>
        <v>0.11494252873563218</v>
      </c>
      <c r="BC28" s="95">
        <f>+BC22/BC10</f>
        <v>2.2556390977443608E-2</v>
      </c>
      <c r="BE28" s="28">
        <f t="shared" ref="BE28:BG28" si="52">+BE22/BE10</f>
        <v>0</v>
      </c>
      <c r="BF28" s="28">
        <f t="shared" si="52"/>
        <v>-2.9850746268656719E-2</v>
      </c>
      <c r="BG28" s="28">
        <f t="shared" si="52"/>
        <v>1.5384615384615384E-2</v>
      </c>
      <c r="BH28" s="28">
        <f>+BH22/BH10</f>
        <v>0.23655913978494622</v>
      </c>
      <c r="BI28" s="95">
        <f>+BI22/BI10</f>
        <v>7.2413793103448282E-2</v>
      </c>
      <c r="BK28" s="28">
        <f t="shared" ref="BK28:BL28" si="53">+BK22/BK10</f>
        <v>-1.5384615384615384E-2</v>
      </c>
      <c r="BL28" s="28">
        <f t="shared" si="53"/>
        <v>-0.12903225806451613</v>
      </c>
      <c r="BM28" s="28">
        <f t="shared" ref="BM28" si="54">+BM22/BM10</f>
        <v>0.17283950617283952</v>
      </c>
      <c r="BN28" s="28">
        <v>0.253</v>
      </c>
      <c r="BO28" s="95">
        <v>9.6000000000000002E-2</v>
      </c>
      <c r="BQ28" s="227" t="s">
        <v>221</v>
      </c>
      <c r="BR28" s="227" t="s">
        <v>221</v>
      </c>
      <c r="BS28" s="225"/>
      <c r="BT28" s="225"/>
      <c r="BU28" s="226" t="s">
        <v>221</v>
      </c>
    </row>
    <row r="29" spans="1:80">
      <c r="C29" s="7"/>
      <c r="D29" s="7"/>
      <c r="E29" s="7"/>
      <c r="F29" s="7"/>
      <c r="G29" s="47"/>
      <c r="I29" s="7"/>
      <c r="J29" s="7"/>
      <c r="K29" s="7"/>
      <c r="L29" s="7"/>
      <c r="M29" s="47"/>
      <c r="O29" s="7"/>
      <c r="P29" s="7"/>
      <c r="Q29" s="7"/>
      <c r="R29" s="7"/>
      <c r="S29" s="47"/>
      <c r="U29" s="7"/>
      <c r="V29" s="7"/>
      <c r="W29" s="7"/>
      <c r="X29" s="7"/>
      <c r="Y29" s="47"/>
      <c r="AA29" s="7"/>
      <c r="AB29" s="7"/>
      <c r="AC29" s="7"/>
      <c r="AD29" s="19"/>
      <c r="AE29" s="47"/>
      <c r="AG29" s="7"/>
      <c r="AH29" s="7"/>
      <c r="AI29" s="7"/>
      <c r="AJ29" s="19"/>
      <c r="AK29" s="47"/>
      <c r="AM29" s="7"/>
      <c r="AN29" s="7"/>
      <c r="AO29" s="7"/>
      <c r="AP29" s="19"/>
      <c r="AQ29" s="47"/>
      <c r="AS29" s="7"/>
      <c r="AT29" s="7"/>
      <c r="AU29" s="7"/>
      <c r="AV29" s="19"/>
      <c r="AW29" s="47"/>
      <c r="AY29" s="7"/>
      <c r="AZ29" s="7"/>
      <c r="BA29" s="7"/>
      <c r="BB29" s="19"/>
      <c r="BC29" s="47"/>
      <c r="BE29" s="7"/>
      <c r="BF29" s="7"/>
      <c r="BG29" s="7"/>
      <c r="BH29" s="19"/>
      <c r="BI29" s="47"/>
      <c r="BK29" s="7"/>
      <c r="BL29" s="7"/>
      <c r="BM29" s="7"/>
      <c r="BN29" s="19"/>
      <c r="BO29" s="47"/>
      <c r="BQ29" s="7"/>
      <c r="BR29" s="7"/>
      <c r="BS29" s="7"/>
      <c r="BT29" s="19"/>
      <c r="BU29" s="47"/>
    </row>
    <row r="30" spans="1:80">
      <c r="A30" s="5" t="s">
        <v>1</v>
      </c>
      <c r="C30" s="7"/>
      <c r="D30" s="7"/>
      <c r="E30" s="7"/>
      <c r="F30" s="7"/>
      <c r="G30" s="47"/>
      <c r="I30" s="7"/>
      <c r="J30" s="7"/>
      <c r="K30" s="7"/>
      <c r="L30" s="7"/>
      <c r="M30" s="47"/>
      <c r="O30" s="7"/>
      <c r="P30" s="7"/>
      <c r="Q30" s="7"/>
      <c r="R30" s="7"/>
      <c r="S30" s="47"/>
      <c r="U30" s="7"/>
      <c r="V30" s="7"/>
      <c r="W30" s="7"/>
      <c r="X30" s="7"/>
      <c r="Y30" s="47"/>
      <c r="AA30" s="7"/>
      <c r="AB30" s="7"/>
      <c r="AC30" s="7"/>
      <c r="AD30" s="19"/>
      <c r="AE30" s="47"/>
      <c r="AG30" s="7"/>
      <c r="AH30" s="7"/>
      <c r="AI30" s="7"/>
      <c r="AJ30" s="19"/>
      <c r="AK30" s="47"/>
      <c r="AM30" s="7"/>
      <c r="AN30" s="7"/>
      <c r="AO30" s="7"/>
      <c r="AP30" s="19"/>
      <c r="AQ30" s="47"/>
      <c r="AS30" s="7"/>
      <c r="AT30" s="7"/>
      <c r="AU30" s="7"/>
      <c r="AV30" s="19"/>
      <c r="AW30" s="47"/>
      <c r="AY30" s="7"/>
      <c r="AZ30" s="7"/>
      <c r="BA30" s="7"/>
      <c r="BB30" s="19"/>
      <c r="BC30" s="47"/>
      <c r="BE30" s="7"/>
      <c r="BF30" s="7"/>
      <c r="BG30" s="7"/>
      <c r="BH30" s="19"/>
      <c r="BI30" s="47"/>
      <c r="BK30" s="7"/>
      <c r="BL30" s="7"/>
      <c r="BM30" s="7"/>
      <c r="BN30" s="19"/>
      <c r="BO30" s="47"/>
      <c r="BQ30" s="7"/>
      <c r="BR30" s="7"/>
      <c r="BS30" s="7"/>
      <c r="BT30" s="19"/>
      <c r="BU30" s="47"/>
    </row>
    <row r="31" spans="1:80">
      <c r="A31" s="2" t="s">
        <v>101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116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116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116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116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97">
        <v>12.751677852348992</v>
      </c>
      <c r="AE31" s="116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97">
        <v>6.174496644295302</v>
      </c>
      <c r="AK31" s="116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97">
        <v>9.7986577181208059</v>
      </c>
      <c r="AQ31" s="116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97">
        <v>13.825503355704697</v>
      </c>
      <c r="AW31" s="116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97">
        <f>(119+37)/7.45</f>
        <v>20.939597315436242</v>
      </c>
      <c r="BC31" s="116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97">
        <v>10.872483221476509</v>
      </c>
      <c r="BI31" s="116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97">
        <v>6.6</v>
      </c>
      <c r="BO31" s="116">
        <f>SUM(BK31:BN31)</f>
        <v>53.848322147651011</v>
      </c>
      <c r="BP31" s="31"/>
      <c r="BQ31" s="31">
        <v>9.6999999999999993</v>
      </c>
      <c r="BR31" s="31">
        <v>19.399999999999999</v>
      </c>
      <c r="BS31" s="31"/>
      <c r="BT31" s="197"/>
      <c r="BU31" s="116">
        <f>SUM(BQ31:BT31)</f>
        <v>29.099999999999998</v>
      </c>
      <c r="BV31" s="31"/>
      <c r="BW31" s="31"/>
      <c r="BX31" s="31"/>
      <c r="BY31" s="31"/>
      <c r="BZ31" s="31"/>
      <c r="CA31" s="31"/>
      <c r="CB31" s="31"/>
    </row>
    <row r="32" spans="1:80">
      <c r="A32" s="2" t="s">
        <v>150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116">
        <f t="shared" ref="G32:G37" si="55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116">
        <f t="shared" ref="M32:M37" si="56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116">
        <f t="shared" ref="S32:S37" si="57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116">
        <f t="shared" ref="Y32:Y37" si="58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97">
        <v>10.872483221476509</v>
      </c>
      <c r="AE32" s="116">
        <f t="shared" ref="AE32:AE37" si="59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97">
        <v>14.093959731543624</v>
      </c>
      <c r="AK32" s="116">
        <f t="shared" ref="AK32:AK37" si="60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97">
        <v>23.355704697986578</v>
      </c>
      <c r="AQ32" s="116">
        <f t="shared" ref="AQ32:AQ37" si="61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97">
        <v>27.651006711409394</v>
      </c>
      <c r="AW32" s="116">
        <f t="shared" ref="AW32:AW37" si="62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97">
        <v>28.187919463087248</v>
      </c>
      <c r="BC32" s="116">
        <f t="shared" ref="BC32:BC37" si="63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97">
        <v>30.469798657718119</v>
      </c>
      <c r="BI32" s="116">
        <f t="shared" ref="BI32:BI37" si="64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97">
        <v>23.3</v>
      </c>
      <c r="BO32" s="116">
        <f t="shared" ref="BO32:BO37" si="65">SUM(BK32:BN32)</f>
        <v>97.930872483221478</v>
      </c>
      <c r="BP32" s="31"/>
      <c r="BQ32" s="31">
        <v>27.201000000000001</v>
      </c>
      <c r="BR32" s="31">
        <v>32.5</v>
      </c>
      <c r="BS32" s="31"/>
      <c r="BT32" s="197"/>
      <c r="BU32" s="116">
        <f t="shared" ref="BU32:BU37" si="66">SUM(BQ32:BT32)</f>
        <v>59.701000000000001</v>
      </c>
      <c r="BV32" s="31"/>
      <c r="BW32" s="31"/>
      <c r="BX32" s="31"/>
      <c r="BY32" s="31"/>
      <c r="BZ32" s="31"/>
      <c r="CA32" s="31"/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116">
        <f t="shared" si="55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116">
        <f t="shared" si="56"/>
        <v>0</v>
      </c>
      <c r="N33" s="31"/>
      <c r="O33" s="31">
        <v>0</v>
      </c>
      <c r="P33" s="31">
        <v>0</v>
      </c>
      <c r="Q33" s="31">
        <v>0</v>
      </c>
      <c r="R33" s="31" t="s">
        <v>54</v>
      </c>
      <c r="S33" s="116">
        <f t="shared" si="57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116">
        <f t="shared" si="58"/>
        <v>0</v>
      </c>
      <c r="Z33" s="31"/>
      <c r="AA33" s="31">
        <v>0</v>
      </c>
      <c r="AB33" s="31">
        <v>0</v>
      </c>
      <c r="AC33" s="31">
        <v>0</v>
      </c>
      <c r="AD33" s="197">
        <v>0</v>
      </c>
      <c r="AE33" s="116">
        <f t="shared" si="59"/>
        <v>0</v>
      </c>
      <c r="AF33" s="31"/>
      <c r="AG33" s="31">
        <v>0</v>
      </c>
      <c r="AH33" s="31">
        <v>0</v>
      </c>
      <c r="AI33" s="31">
        <v>0</v>
      </c>
      <c r="AJ33" s="197">
        <v>0</v>
      </c>
      <c r="AK33" s="116">
        <f t="shared" si="60"/>
        <v>0</v>
      </c>
      <c r="AL33" s="31"/>
      <c r="AM33" s="31">
        <v>0</v>
      </c>
      <c r="AN33" s="31">
        <v>0</v>
      </c>
      <c r="AO33" s="31">
        <v>0</v>
      </c>
      <c r="AP33" s="197">
        <v>0</v>
      </c>
      <c r="AQ33" s="116">
        <f t="shared" si="61"/>
        <v>0</v>
      </c>
      <c r="AR33" s="31"/>
      <c r="AS33" s="31">
        <v>0</v>
      </c>
      <c r="AT33" s="31">
        <v>0</v>
      </c>
      <c r="AU33" s="31">
        <v>0</v>
      </c>
      <c r="AV33" s="197">
        <v>0</v>
      </c>
      <c r="AW33" s="116">
        <f t="shared" si="62"/>
        <v>0</v>
      </c>
      <c r="AX33" s="31"/>
      <c r="AY33" s="31"/>
      <c r="AZ33" s="31"/>
      <c r="BA33" s="31"/>
      <c r="BB33" s="197"/>
      <c r="BC33" s="116">
        <f t="shared" si="63"/>
        <v>0</v>
      </c>
      <c r="BD33" s="31"/>
      <c r="BE33" s="31"/>
      <c r="BF33" s="31"/>
      <c r="BG33" s="31"/>
      <c r="BH33" s="197"/>
      <c r="BI33" s="116">
        <f t="shared" si="64"/>
        <v>0</v>
      </c>
      <c r="BJ33" s="31"/>
      <c r="BK33" s="31"/>
      <c r="BL33" s="31"/>
      <c r="BM33" s="31"/>
      <c r="BN33" s="197"/>
      <c r="BO33" s="116">
        <f t="shared" si="65"/>
        <v>0</v>
      </c>
      <c r="BP33" s="31"/>
      <c r="BQ33" s="31"/>
      <c r="BR33" s="31"/>
      <c r="BS33" s="31"/>
      <c r="BT33" s="197"/>
      <c r="BU33" s="116">
        <f t="shared" si="66"/>
        <v>0</v>
      </c>
      <c r="BV33" s="31"/>
      <c r="BW33" s="31"/>
      <c r="BX33" s="31"/>
      <c r="BY33" s="31"/>
      <c r="BZ33" s="31"/>
      <c r="CA33" s="31"/>
      <c r="CB33" s="31"/>
    </row>
    <row r="34" spans="1:216">
      <c r="A34" s="2" t="s">
        <v>117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116">
        <f t="shared" si="55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116">
        <f t="shared" si="56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116">
        <f t="shared" si="57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116">
        <f t="shared" si="58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97">
        <v>2.2818791946308723</v>
      </c>
      <c r="AE34" s="116">
        <f t="shared" si="59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97">
        <v>4.4295302013422821</v>
      </c>
      <c r="AK34" s="116">
        <f t="shared" si="60"/>
        <v>12.080536912751679</v>
      </c>
      <c r="AL34" s="31"/>
      <c r="AM34" s="126">
        <v>3.7583892617449663</v>
      </c>
      <c r="AN34" s="126">
        <v>2.8187919463087248</v>
      </c>
      <c r="AO34" s="126">
        <v>12.080536912751677</v>
      </c>
      <c r="AP34" s="126">
        <v>2.5503355704697985</v>
      </c>
      <c r="AQ34" s="116">
        <f t="shared" si="61"/>
        <v>21.208053691275168</v>
      </c>
      <c r="AR34" s="31"/>
      <c r="AS34" s="211">
        <v>0</v>
      </c>
      <c r="AT34" s="211">
        <v>0</v>
      </c>
      <c r="AU34" s="31">
        <v>0</v>
      </c>
      <c r="AV34" s="197">
        <v>0</v>
      </c>
      <c r="AW34" s="116">
        <f t="shared" si="62"/>
        <v>0</v>
      </c>
      <c r="AX34" s="31"/>
      <c r="AY34" s="211"/>
      <c r="AZ34" s="211"/>
      <c r="BA34" s="31"/>
      <c r="BB34" s="197"/>
      <c r="BC34" s="116">
        <f t="shared" si="63"/>
        <v>0</v>
      </c>
      <c r="BD34" s="31"/>
      <c r="BE34" s="211"/>
      <c r="BF34" s="211"/>
      <c r="BG34" s="31"/>
      <c r="BH34" s="197"/>
      <c r="BI34" s="116">
        <f t="shared" si="64"/>
        <v>0</v>
      </c>
      <c r="BJ34" s="31"/>
      <c r="BK34" s="211"/>
      <c r="BL34" s="211"/>
      <c r="BM34" s="31"/>
      <c r="BN34" s="197"/>
      <c r="BO34" s="116">
        <f t="shared" si="65"/>
        <v>0</v>
      </c>
      <c r="BP34" s="31"/>
      <c r="BQ34" s="211"/>
      <c r="BR34" s="211"/>
      <c r="BS34" s="31"/>
      <c r="BT34" s="197"/>
      <c r="BU34" s="116">
        <f t="shared" si="66"/>
        <v>0</v>
      </c>
      <c r="BV34" s="31"/>
      <c r="BW34" s="31"/>
      <c r="BX34" s="31"/>
      <c r="BY34" s="31"/>
      <c r="BZ34" s="31"/>
      <c r="CA34" s="31"/>
      <c r="CB34" s="31"/>
    </row>
    <row r="35" spans="1:216">
      <c r="A35" s="2" t="s">
        <v>99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116">
        <f t="shared" si="55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116">
        <f t="shared" si="56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116">
        <f t="shared" si="57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116">
        <f t="shared" si="58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97">
        <v>-0.26845637583892618</v>
      </c>
      <c r="AE35" s="116">
        <f t="shared" si="59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97">
        <v>0.26845637583892618</v>
      </c>
      <c r="AK35" s="116">
        <f t="shared" si="60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97">
        <v>0.93959731543624159</v>
      </c>
      <c r="AQ35" s="116">
        <f t="shared" si="61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97">
        <v>2.0134228187919461</v>
      </c>
      <c r="AW35" s="116">
        <f t="shared" si="62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97">
        <v>1.3422818791946309</v>
      </c>
      <c r="BC35" s="116">
        <f t="shared" si="63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97">
        <v>2.9530201342281877</v>
      </c>
      <c r="BI35" s="116">
        <f t="shared" si="64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97">
        <v>3</v>
      </c>
      <c r="BO35" s="116">
        <f t="shared" si="65"/>
        <v>3.6711409395973154</v>
      </c>
      <c r="BP35" s="31"/>
      <c r="BQ35" s="31">
        <v>-0.3</v>
      </c>
      <c r="BR35" s="31">
        <v>-0.3</v>
      </c>
      <c r="BS35" s="31"/>
      <c r="BT35" s="197"/>
      <c r="BU35" s="116">
        <f t="shared" si="66"/>
        <v>-0.6</v>
      </c>
      <c r="BV35" s="31"/>
      <c r="BW35" s="31"/>
      <c r="BX35" s="31"/>
      <c r="BY35" s="31"/>
      <c r="BZ35" s="31"/>
      <c r="CA35" s="31"/>
      <c r="CB35" s="31"/>
    </row>
    <row r="36" spans="1:216" hidden="1">
      <c r="A36" s="2" t="s">
        <v>35</v>
      </c>
      <c r="C36" s="31">
        <v>0</v>
      </c>
      <c r="D36" s="31">
        <v>0</v>
      </c>
      <c r="E36" s="31">
        <v>0</v>
      </c>
      <c r="F36" s="31">
        <v>0</v>
      </c>
      <c r="G36" s="116">
        <f t="shared" si="55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116">
        <f t="shared" si="56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116">
        <f t="shared" si="57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116">
        <f t="shared" si="58"/>
        <v>0</v>
      </c>
      <c r="Z36" s="31"/>
      <c r="AA36" s="31">
        <v>0</v>
      </c>
      <c r="AB36" s="31">
        <v>0</v>
      </c>
      <c r="AC36" s="31">
        <v>0</v>
      </c>
      <c r="AD36" s="197">
        <v>0</v>
      </c>
      <c r="AE36" s="116">
        <f t="shared" si="59"/>
        <v>0</v>
      </c>
      <c r="AF36" s="31"/>
      <c r="AG36" s="31">
        <v>0</v>
      </c>
      <c r="AH36" s="31">
        <v>0</v>
      </c>
      <c r="AI36" s="31">
        <v>0</v>
      </c>
      <c r="AJ36" s="197">
        <v>0</v>
      </c>
      <c r="AK36" s="116">
        <f t="shared" si="60"/>
        <v>0</v>
      </c>
      <c r="AL36" s="31"/>
      <c r="AM36" s="31">
        <v>0</v>
      </c>
      <c r="AN36" s="31">
        <v>0</v>
      </c>
      <c r="AO36" s="31">
        <v>0</v>
      </c>
      <c r="AP36" s="197">
        <v>0</v>
      </c>
      <c r="AQ36" s="116">
        <f t="shared" si="61"/>
        <v>0</v>
      </c>
      <c r="AR36" s="31"/>
      <c r="AS36" s="31">
        <v>0</v>
      </c>
      <c r="AT36" s="31">
        <v>0</v>
      </c>
      <c r="AU36" s="31">
        <v>0</v>
      </c>
      <c r="AV36" s="197">
        <v>0</v>
      </c>
      <c r="AW36" s="116">
        <f t="shared" si="62"/>
        <v>0</v>
      </c>
      <c r="AX36" s="31"/>
      <c r="AY36" s="31">
        <v>0</v>
      </c>
      <c r="AZ36" s="31">
        <v>0</v>
      </c>
      <c r="BA36" s="31">
        <v>0</v>
      </c>
      <c r="BB36" s="197">
        <v>0</v>
      </c>
      <c r="BC36" s="116">
        <f t="shared" si="63"/>
        <v>0</v>
      </c>
      <c r="BD36" s="31"/>
      <c r="BE36" s="31">
        <v>0</v>
      </c>
      <c r="BF36" s="31">
        <v>0</v>
      </c>
      <c r="BG36" s="31">
        <v>0</v>
      </c>
      <c r="BH36" s="197">
        <v>0</v>
      </c>
      <c r="BI36" s="116">
        <f t="shared" si="64"/>
        <v>0</v>
      </c>
      <c r="BJ36" s="31"/>
      <c r="BK36" s="31">
        <v>0</v>
      </c>
      <c r="BL36" s="31">
        <v>0</v>
      </c>
      <c r="BM36" s="31">
        <v>0</v>
      </c>
      <c r="BN36" s="197"/>
      <c r="BO36" s="116">
        <f t="shared" si="65"/>
        <v>0</v>
      </c>
      <c r="BP36" s="31"/>
      <c r="BQ36" s="31">
        <v>0</v>
      </c>
      <c r="BR36" s="31"/>
      <c r="BS36" s="31"/>
      <c r="BT36" s="197"/>
      <c r="BU36" s="116">
        <f t="shared" si="66"/>
        <v>0</v>
      </c>
      <c r="BV36" s="31"/>
      <c r="BW36" s="31"/>
      <c r="BX36" s="31"/>
      <c r="BY36" s="31"/>
      <c r="BZ36" s="31"/>
      <c r="CA36" s="31"/>
      <c r="CB36" s="31"/>
    </row>
    <row r="37" spans="1:216">
      <c r="A37" s="2" t="s">
        <v>72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116">
        <f t="shared" si="55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116">
        <f t="shared" si="56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116">
        <f t="shared" si="57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116">
        <f t="shared" si="58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97">
        <v>0.40268456375838924</v>
      </c>
      <c r="AE37" s="116">
        <f t="shared" si="59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97">
        <v>-1.0738255033557047</v>
      </c>
      <c r="AK37" s="116">
        <f t="shared" si="60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97">
        <v>-1.0738255033557047</v>
      </c>
      <c r="AQ37" s="116">
        <f t="shared" si="61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97">
        <v>-1.4765100671140938</v>
      </c>
      <c r="AW37" s="116">
        <f t="shared" si="62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97">
        <v>-1.3422818791946309</v>
      </c>
      <c r="BC37" s="116">
        <f t="shared" si="63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97">
        <v>-1.7449664429530201</v>
      </c>
      <c r="BI37" s="116">
        <f t="shared" si="64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97">
        <v>-0.6</v>
      </c>
      <c r="BO37" s="116">
        <f t="shared" si="65"/>
        <v>-3.4187919463087248</v>
      </c>
      <c r="BP37" s="31"/>
      <c r="BQ37" s="31">
        <v>-0.7</v>
      </c>
      <c r="BR37" s="31">
        <v>-0.8</v>
      </c>
      <c r="BS37" s="31"/>
      <c r="BT37" s="197"/>
      <c r="BU37" s="116">
        <f t="shared" si="66"/>
        <v>-1.5</v>
      </c>
      <c r="BV37" s="31"/>
      <c r="BW37" s="31"/>
      <c r="BX37" s="31"/>
      <c r="BY37" s="31"/>
      <c r="BZ37" s="31"/>
      <c r="CA37" s="31"/>
      <c r="CB37" s="31"/>
    </row>
    <row r="38" spans="1:216" s="85" customFormat="1" ht="18.75" customHeight="1">
      <c r="C38" s="198">
        <f>SUM(C30:C37)</f>
        <v>16.778523489932883</v>
      </c>
      <c r="D38" s="198">
        <f>SUM(D30:D37)</f>
        <v>23.355704697986578</v>
      </c>
      <c r="E38" s="198">
        <f>SUM(E30:E37)</f>
        <v>25.503355704697988</v>
      </c>
      <c r="F38" s="198">
        <f>SUM(F30:F37)</f>
        <v>30.067114093959734</v>
      </c>
      <c r="G38" s="199">
        <f>SUM(G30:G37)</f>
        <v>95.704697986577173</v>
      </c>
      <c r="H38" s="198"/>
      <c r="I38" s="198">
        <f>SUM(I30:I37)</f>
        <v>23.624161073825501</v>
      </c>
      <c r="J38" s="198">
        <f>SUM(J30:J37)</f>
        <v>50.067114093959731</v>
      </c>
      <c r="K38" s="198">
        <f>SUM(K30:K37)</f>
        <v>34.228187919463082</v>
      </c>
      <c r="L38" s="198">
        <f>SUM(L30:L37)</f>
        <v>29.261744966442951</v>
      </c>
      <c r="M38" s="199">
        <f>SUM(M30:M37)</f>
        <v>137.18120805369128</v>
      </c>
      <c r="N38" s="198"/>
      <c r="O38" s="198">
        <f>SUM(O30:O37)</f>
        <v>34.362416107382543</v>
      </c>
      <c r="P38" s="198">
        <f>SUM(P30:P37)</f>
        <v>53.288590604026858</v>
      </c>
      <c r="Q38" s="198">
        <f>SUM(Q30:Q37)</f>
        <v>44.697986577181197</v>
      </c>
      <c r="R38" s="198">
        <f>SUM(R30:R37)</f>
        <v>59.999999999999993</v>
      </c>
      <c r="S38" s="199">
        <f>SUM(S30:S37)</f>
        <v>192.34899328859058</v>
      </c>
      <c r="T38" s="198"/>
      <c r="U38" s="198">
        <f>SUM(U30:U37)</f>
        <v>40.939597315436245</v>
      </c>
      <c r="V38" s="198">
        <f>SUM(V30:V37)</f>
        <v>61.879194630872483</v>
      </c>
      <c r="W38" s="198">
        <f>SUM(W30:W37)</f>
        <v>44.161073825503351</v>
      </c>
      <c r="X38" s="198">
        <f>SUM(X30:X37)</f>
        <v>16.510067114093957</v>
      </c>
      <c r="Y38" s="199">
        <f>SUM(Y30:Y37)</f>
        <v>163.48993288590603</v>
      </c>
      <c r="Z38" s="198"/>
      <c r="AA38" s="198">
        <f>SUM(AA30:AA37)</f>
        <v>17.046979865771814</v>
      </c>
      <c r="AB38" s="198">
        <f>SUM(AB30:AB37)</f>
        <v>31.812080536912749</v>
      </c>
      <c r="AC38" s="198">
        <f>SUM(AC30:AC37)</f>
        <v>30.201342281879189</v>
      </c>
      <c r="AD38" s="198">
        <f>SUM(AD30:AD37)</f>
        <v>26.040268456375834</v>
      </c>
      <c r="AE38" s="199">
        <f>SUM(AE30:AE37)</f>
        <v>105.1006711409396</v>
      </c>
      <c r="AF38" s="198"/>
      <c r="AG38" s="198">
        <f>SUM(AG30:AG37)</f>
        <v>28.590604026845636</v>
      </c>
      <c r="AH38" s="198">
        <f>SUM(AH30:AH37)</f>
        <v>34.630872483221474</v>
      </c>
      <c r="AI38" s="198">
        <f>SUM(AI30:AI37)</f>
        <v>33.557046979865774</v>
      </c>
      <c r="AJ38" s="198">
        <f>SUM(AJ30:AJ37)</f>
        <v>23.892617449664431</v>
      </c>
      <c r="AK38" s="199">
        <f>SUM(AK30:AK37)</f>
        <v>120.67114093959731</v>
      </c>
      <c r="AL38" s="198"/>
      <c r="AM38" s="198">
        <f>SUM(AM30:AM37)</f>
        <v>28.993288590604028</v>
      </c>
      <c r="AN38" s="198">
        <f>SUM(AN30:AN37)</f>
        <v>28.187919463087251</v>
      </c>
      <c r="AO38" s="198">
        <f>SUM(AO30:AO37)</f>
        <v>41.879194630872483</v>
      </c>
      <c r="AP38" s="198">
        <f>SUM(AP30:AP37)</f>
        <v>35.570469798657712</v>
      </c>
      <c r="AQ38" s="199">
        <f>SUM(AQ30:AQ37)</f>
        <v>134.63087248322148</v>
      </c>
      <c r="AR38" s="198"/>
      <c r="AS38" s="198">
        <f>SUM(AS30:AS37)</f>
        <v>30.604026845637588</v>
      </c>
      <c r="AT38" s="198">
        <f>SUM(AT30:AT37)</f>
        <v>30.738255033557046</v>
      </c>
      <c r="AU38" s="198">
        <f>SUM(AU30:AU37)</f>
        <v>32.080536912751683</v>
      </c>
      <c r="AV38" s="198">
        <f>SUM(AV30:AV37)</f>
        <v>42.013422818791945</v>
      </c>
      <c r="AW38" s="199">
        <f>SUM(AW30:AW37)</f>
        <v>135.43624161073825</v>
      </c>
      <c r="AX38" s="198"/>
      <c r="AY38" s="198">
        <f>SUM(AY30:AY37)</f>
        <v>29.127516778523493</v>
      </c>
      <c r="AZ38" s="198">
        <f>SUM(AZ30:AZ37)</f>
        <v>37.449664429530202</v>
      </c>
      <c r="BA38" s="198">
        <f>SUM(BA30:BA37)</f>
        <v>32.348993288590606</v>
      </c>
      <c r="BB38" s="198">
        <f>SUM(BB30:BB37)</f>
        <v>49.127516778523486</v>
      </c>
      <c r="BC38" s="199">
        <f>SUM(BC30:BC37)</f>
        <v>148.05369127516778</v>
      </c>
      <c r="BD38" s="198"/>
      <c r="BE38" s="198">
        <f>SUM(BE30:BE37)</f>
        <v>39.73154362416107</v>
      </c>
      <c r="BF38" s="198">
        <f>SUM(BF30:BF37)</f>
        <v>29.798657718120804</v>
      </c>
      <c r="BG38" s="198">
        <f>SUM(BG30:BG37)</f>
        <v>30.33557046979865</v>
      </c>
      <c r="BH38" s="198">
        <f>SUM(BH30:BH37)</f>
        <v>42.550335570469798</v>
      </c>
      <c r="BI38" s="199">
        <f>SUM(BI30:BI37)</f>
        <v>142.41610738255031</v>
      </c>
      <c r="BJ38" s="198"/>
      <c r="BK38" s="198">
        <f>SUM(BK30:BK37)</f>
        <v>32.885906040268459</v>
      </c>
      <c r="BL38" s="198">
        <f>SUM(BL30:BL37)</f>
        <v>54.630872483221474</v>
      </c>
      <c r="BM38" s="198">
        <f>SUM(BM30:BM37)</f>
        <v>32.214765100671144</v>
      </c>
      <c r="BN38" s="198">
        <f>SUM(BN30:BN37)</f>
        <v>32.299999999999997</v>
      </c>
      <c r="BO38" s="199">
        <f>SUM(BO30:BO37)</f>
        <v>152.03154362416109</v>
      </c>
      <c r="BP38" s="198"/>
      <c r="BQ38" s="198">
        <f>SUM(BQ30:BQ37)</f>
        <v>35.900999999999996</v>
      </c>
      <c r="BR38" s="198">
        <f>SUM(BR30:BR37)</f>
        <v>50.800000000000004</v>
      </c>
      <c r="BS38" s="198"/>
      <c r="BT38" s="198"/>
      <c r="BU38" s="199">
        <f>SUM(BU30:BU37)</f>
        <v>86.701000000000008</v>
      </c>
      <c r="BV38" s="198"/>
      <c r="BW38" s="198"/>
      <c r="BX38" s="198"/>
      <c r="BY38" s="198"/>
      <c r="BZ38" s="198"/>
      <c r="CA38" s="198"/>
      <c r="CB38" s="198"/>
    </row>
    <row r="39" spans="1:216" s="92" customFormat="1" ht="18.75" customHeight="1">
      <c r="A39" s="92" t="s">
        <v>36</v>
      </c>
      <c r="C39" s="99">
        <f>C38/C13</f>
        <v>6.6988210075026797E-2</v>
      </c>
      <c r="D39" s="99">
        <f>D38/D13</f>
        <v>7.5916230366492143E-2</v>
      </c>
      <c r="E39" s="99">
        <f>E38/E13</f>
        <v>8.5163603765127743E-2</v>
      </c>
      <c r="F39" s="99">
        <f>F38/F13</f>
        <v>9.4875052943667951E-2</v>
      </c>
      <c r="G39" s="100">
        <f>G38/G13</f>
        <v>8.1485714285714272E-2</v>
      </c>
      <c r="I39" s="99">
        <f>I38/I13</f>
        <v>7.2968490878938627E-2</v>
      </c>
      <c r="J39" s="99">
        <f>J38/J13</f>
        <v>0.13147691223123015</v>
      </c>
      <c r="K39" s="99">
        <f>K38/K13</f>
        <v>9.4339622641509427E-2</v>
      </c>
      <c r="L39" s="99">
        <f>L38/L13</f>
        <v>7.614390499476073E-2</v>
      </c>
      <c r="M39" s="100">
        <f>M38/M13</f>
        <v>9.4498381877022669E-2</v>
      </c>
      <c r="O39" s="99">
        <f>O38/O13</f>
        <v>8.1789137380191668E-2</v>
      </c>
      <c r="P39" s="99">
        <f>P38/P13</f>
        <v>0.10991140642303436</v>
      </c>
      <c r="Q39" s="99">
        <f>Q38/Q13</f>
        <v>9.9225268176400455E-2</v>
      </c>
      <c r="R39" s="99">
        <f>R38/R13</f>
        <v>0.13043478260869562</v>
      </c>
      <c r="S39" s="100">
        <f>S38/S13</f>
        <v>0.10595194085027725</v>
      </c>
      <c r="U39" s="99">
        <f>U38/U13</f>
        <v>9.0612002376708273E-2</v>
      </c>
      <c r="V39" s="99">
        <f>V38/V13</f>
        <v>0.12166798627606229</v>
      </c>
      <c r="W39" s="99">
        <f>W38/W13</f>
        <v>9.3253968253968256E-2</v>
      </c>
      <c r="X39" s="99">
        <f>X38/X13</f>
        <v>3.9109697933227341E-2</v>
      </c>
      <c r="Y39" s="100">
        <f>Y38/Y13</f>
        <v>8.8082152155047722E-2</v>
      </c>
      <c r="AA39" s="99">
        <f>AA38/AA13</f>
        <v>4.8197343453510441E-2</v>
      </c>
      <c r="AB39" s="99">
        <f>AB38/AB13</f>
        <v>7.5381679389312978E-2</v>
      </c>
      <c r="AC39" s="99">
        <f>AC38/AC13</f>
        <v>7.5478027507547785E-2</v>
      </c>
      <c r="AD39" s="99">
        <f>AD38/AD13</f>
        <v>6.6279467031089848E-2</v>
      </c>
      <c r="AE39" s="100">
        <f>AE38/AE13</f>
        <v>6.6997518610421844E-2</v>
      </c>
      <c r="AG39" s="99">
        <f>AG38/AG13</f>
        <v>6.9562377531025468E-2</v>
      </c>
      <c r="AH39" s="99">
        <f>AH38/AH13</f>
        <v>7.0976616231086656E-2</v>
      </c>
      <c r="AI39" s="99">
        <f>AI38/AI13</f>
        <v>6.7114093959731544E-2</v>
      </c>
      <c r="AJ39" s="99">
        <f>AJ38/AJ13</f>
        <v>4.4179697195333836E-2</v>
      </c>
      <c r="AK39" s="100">
        <f>AK38/AK13</f>
        <v>6.2210227665905476E-2</v>
      </c>
      <c r="AM39" s="99">
        <f>AM38/AM13</f>
        <v>5.7233704292527825E-2</v>
      </c>
      <c r="AN39" s="99">
        <f>AN38/AN13</f>
        <v>5.2290836653386456E-2</v>
      </c>
      <c r="AO39" s="99">
        <f>AO38/AO13</f>
        <v>7.9754601226993863E-2</v>
      </c>
      <c r="AP39" s="99">
        <f>AP38/AP13</f>
        <v>6.7913890312660152E-2</v>
      </c>
      <c r="AQ39" s="100">
        <f>AQ38/AQ13</f>
        <v>6.4278390156370172E-2</v>
      </c>
      <c r="AS39" s="99">
        <f>AS38/AS13</f>
        <v>6.4570943075615977E-2</v>
      </c>
      <c r="AT39" s="99">
        <f>AT38/AT13</f>
        <v>5.8657786885245894E-2</v>
      </c>
      <c r="AU39" s="99">
        <f>AU38/AU13</f>
        <v>6.2631027253668772E-2</v>
      </c>
      <c r="AV39" s="99">
        <f>AV38/AV13</f>
        <v>7.8210894552723648E-2</v>
      </c>
      <c r="AW39" s="100">
        <f>AW38/AW13</f>
        <v>6.6150921130269449E-2</v>
      </c>
      <c r="AY39" s="99">
        <f>AY38/AY13</f>
        <v>6.1840980336278155E-2</v>
      </c>
      <c r="AZ39" s="99">
        <f>AZ38/AZ13</f>
        <v>6.9093610698365532E-2</v>
      </c>
      <c r="BA39" s="99">
        <f>BA38/BA13</f>
        <v>5.9112092224675006E-2</v>
      </c>
      <c r="BB39" s="99">
        <f>BB38/BB13</f>
        <v>8.7455197132616486E-2</v>
      </c>
      <c r="BC39" s="100">
        <f>BC38/BC13</f>
        <v>6.9770383958504656E-2</v>
      </c>
      <c r="BE39" s="99">
        <f>BE38/BE13</f>
        <v>7.6584734799482523E-2</v>
      </c>
      <c r="BF39" s="99">
        <f>BF38/BF13</f>
        <v>5.5114200595829194E-2</v>
      </c>
      <c r="BG39" s="99">
        <f>BG38/BG13</f>
        <v>5.7273188038520009E-2</v>
      </c>
      <c r="BH39" s="99">
        <f>BH38/BH13</f>
        <v>7.877733598409542E-2</v>
      </c>
      <c r="BI39" s="100">
        <f>BI38/BI13</f>
        <v>6.6885204564079925E-2</v>
      </c>
      <c r="BK39" s="99">
        <f>BK38/BK13</f>
        <v>5.8837656099903941E-2</v>
      </c>
      <c r="BL39" s="99">
        <f>BL38/BL13</f>
        <v>9.1031089241780355E-2</v>
      </c>
      <c r="BM39" s="99">
        <f>BM38/BM13</f>
        <v>6.1538461538461549E-2</v>
      </c>
      <c r="BN39" s="99">
        <f>BN38/BN13</f>
        <v>5.9704251386321606E-2</v>
      </c>
      <c r="BO39" s="100">
        <f>BO38/BO13</f>
        <v>6.8373331240624308E-2</v>
      </c>
      <c r="BQ39" s="99">
        <f>BQ38/BQ13</f>
        <v>7.3931219110378907E-2</v>
      </c>
      <c r="BR39" s="99">
        <f>BR38/BR13</f>
        <v>9.1829356471438917E-2</v>
      </c>
      <c r="BS39" s="99"/>
      <c r="BT39" s="99"/>
      <c r="BU39" s="100">
        <f>BU38/BU13</f>
        <v>8.3462649210627654E-2</v>
      </c>
    </row>
    <row r="40" spans="1:216" s="5" customFormat="1" ht="18.75" customHeight="1">
      <c r="A40" s="5" t="s">
        <v>76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95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95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95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95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95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95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95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95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95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95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95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/>
      <c r="BT40" s="28"/>
      <c r="BU40" s="95">
        <f>BU31/BU6</f>
        <v>5.9290953545232269E-2</v>
      </c>
      <c r="HH40" s="27"/>
    </row>
    <row r="41" spans="1:216" s="5" customFormat="1" ht="18.75" customHeight="1">
      <c r="A41" s="5" t="s">
        <v>77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95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95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95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95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95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95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95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95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95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95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95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/>
      <c r="BT41" s="28"/>
      <c r="BU41" s="95">
        <f>BU31/BU15</f>
        <v>8.0077050082553655E-2</v>
      </c>
      <c r="HH41" s="27"/>
    </row>
    <row r="42" spans="1:216" s="5" customFormat="1" ht="18.75" customHeight="1">
      <c r="A42" s="5" t="s">
        <v>148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95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95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95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95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95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95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95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95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95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95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95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/>
      <c r="BT42" s="28"/>
      <c r="BU42" s="95">
        <f>BU32/BU7</f>
        <v>0.11224102274863697</v>
      </c>
      <c r="HH42" s="27"/>
    </row>
    <row r="43" spans="1:216" s="1" customFormat="1" ht="18.75" hidden="1" customHeight="1">
      <c r="C43" s="6"/>
      <c r="D43" s="6"/>
      <c r="E43" s="6"/>
      <c r="F43" s="6"/>
      <c r="G43" s="54"/>
      <c r="I43" s="6"/>
      <c r="J43" s="6"/>
      <c r="K43" s="6"/>
      <c r="L43" s="6"/>
      <c r="M43" s="54"/>
      <c r="O43" s="6"/>
      <c r="P43" s="6"/>
      <c r="Q43" s="6"/>
      <c r="R43" s="6"/>
      <c r="S43" s="54"/>
      <c r="Y43" s="46"/>
      <c r="AE43" s="46"/>
      <c r="AK43" s="46"/>
      <c r="AQ43" s="46"/>
      <c r="AW43" s="46"/>
      <c r="BC43" s="46"/>
      <c r="BI43" s="46"/>
      <c r="BO43" s="46"/>
      <c r="BU43" s="46"/>
      <c r="HH43" s="4"/>
    </row>
    <row r="44" spans="1:216" hidden="1">
      <c r="A44" s="25" t="s">
        <v>3</v>
      </c>
      <c r="C44" s="23"/>
      <c r="D44" s="23"/>
      <c r="E44" s="23"/>
      <c r="F44" s="23"/>
      <c r="G44" s="54"/>
      <c r="I44" s="23"/>
      <c r="J44" s="23"/>
      <c r="K44" s="23"/>
      <c r="L44" s="23"/>
      <c r="M44" s="54"/>
      <c r="O44" s="23"/>
      <c r="P44" s="23"/>
      <c r="Q44" s="23"/>
      <c r="R44" s="23"/>
      <c r="S44" s="54"/>
      <c r="Y44" s="72"/>
      <c r="AE44" s="72"/>
      <c r="AK44" s="72"/>
      <c r="AQ44" s="72"/>
      <c r="AW44" s="72"/>
      <c r="BC44" s="72"/>
      <c r="BI44" s="72"/>
      <c r="BO44" s="72"/>
      <c r="BU44" s="72"/>
    </row>
    <row r="45" spans="1:216" hidden="1">
      <c r="A45" s="2" t="s">
        <v>102</v>
      </c>
      <c r="C45" s="23"/>
      <c r="D45" s="23"/>
      <c r="E45" s="23"/>
      <c r="F45" s="23"/>
      <c r="G45" s="54"/>
      <c r="I45" s="23"/>
      <c r="J45" s="23"/>
      <c r="K45" s="23"/>
      <c r="L45" s="23"/>
      <c r="M45" s="54"/>
      <c r="O45" s="23"/>
      <c r="P45" s="23"/>
      <c r="Q45" s="23"/>
      <c r="R45" s="23"/>
      <c r="S45" s="54"/>
      <c r="Y45" s="72"/>
      <c r="AE45" s="72"/>
      <c r="AK45" s="72"/>
      <c r="AQ45" s="72"/>
      <c r="AW45" s="72"/>
      <c r="BC45" s="72"/>
      <c r="BI45" s="72"/>
      <c r="BO45" s="72"/>
      <c r="BU45" s="72"/>
    </row>
    <row r="46" spans="1:216" hidden="1">
      <c r="A46" s="2" t="s">
        <v>29</v>
      </c>
      <c r="C46" s="23"/>
      <c r="D46" s="23"/>
      <c r="E46" s="23"/>
      <c r="F46" s="23"/>
      <c r="G46" s="54"/>
      <c r="I46" s="23"/>
      <c r="J46" s="23"/>
      <c r="K46" s="23"/>
      <c r="L46" s="23"/>
      <c r="M46" s="54"/>
      <c r="O46" s="23"/>
      <c r="P46" s="23"/>
      <c r="Q46" s="23"/>
      <c r="R46" s="23"/>
      <c r="S46" s="54"/>
      <c r="Y46" s="72"/>
      <c r="AE46" s="72"/>
      <c r="AK46" s="72"/>
      <c r="AQ46" s="72"/>
      <c r="AW46" s="72"/>
      <c r="BC46" s="72"/>
      <c r="BI46" s="72"/>
      <c r="BO46" s="72"/>
      <c r="BU46" s="72"/>
    </row>
    <row r="47" spans="1:216" hidden="1">
      <c r="A47" s="2" t="s">
        <v>30</v>
      </c>
      <c r="C47" s="23"/>
      <c r="D47" s="23"/>
      <c r="E47" s="23"/>
      <c r="F47" s="23"/>
      <c r="G47" s="54"/>
      <c r="I47" s="23"/>
      <c r="J47" s="23"/>
      <c r="K47" s="23"/>
      <c r="L47" s="23"/>
      <c r="M47" s="54"/>
      <c r="O47" s="23"/>
      <c r="P47" s="23"/>
      <c r="Q47" s="23"/>
      <c r="R47" s="23"/>
      <c r="S47" s="54"/>
      <c r="Y47" s="72"/>
      <c r="AE47" s="72"/>
      <c r="AK47" s="72"/>
      <c r="AQ47" s="72"/>
      <c r="AW47" s="72"/>
      <c r="BC47" s="72"/>
      <c r="BI47" s="72"/>
      <c r="BO47" s="72"/>
      <c r="BU47" s="72"/>
    </row>
    <row r="48" spans="1:216" hidden="1">
      <c r="A48" s="2" t="s">
        <v>31</v>
      </c>
      <c r="C48" s="23"/>
      <c r="D48" s="23"/>
      <c r="E48" s="23"/>
      <c r="F48" s="23"/>
      <c r="G48" s="54"/>
      <c r="I48" s="23"/>
      <c r="J48" s="23"/>
      <c r="K48" s="23"/>
      <c r="L48" s="23"/>
      <c r="M48" s="54"/>
      <c r="O48" s="23"/>
      <c r="P48" s="23"/>
      <c r="Q48" s="23"/>
      <c r="R48" s="23"/>
      <c r="S48" s="54"/>
      <c r="Y48" s="72"/>
      <c r="AE48" s="72"/>
      <c r="AK48" s="72"/>
      <c r="AQ48" s="72"/>
      <c r="AW48" s="72"/>
      <c r="BC48" s="72"/>
      <c r="BI48" s="72"/>
      <c r="BO48" s="72"/>
      <c r="BU48" s="72"/>
    </row>
    <row r="49" spans="1:216" hidden="1">
      <c r="A49" s="2" t="s">
        <v>99</v>
      </c>
      <c r="C49" s="23"/>
      <c r="D49" s="23"/>
      <c r="E49" s="23"/>
      <c r="F49" s="23"/>
      <c r="G49" s="54"/>
      <c r="I49" s="23"/>
      <c r="J49" s="23"/>
      <c r="K49" s="23"/>
      <c r="L49" s="23"/>
      <c r="M49" s="54"/>
      <c r="O49" s="23"/>
      <c r="P49" s="23"/>
      <c r="Q49" s="23"/>
      <c r="R49" s="23"/>
      <c r="S49" s="54"/>
      <c r="Y49" s="72"/>
      <c r="AE49" s="72"/>
      <c r="AK49" s="72"/>
      <c r="AQ49" s="72"/>
      <c r="AW49" s="72"/>
      <c r="BC49" s="72"/>
      <c r="BI49" s="72"/>
      <c r="BO49" s="72"/>
      <c r="BU49" s="72"/>
    </row>
    <row r="50" spans="1:216" hidden="1">
      <c r="A50" s="2" t="s">
        <v>35</v>
      </c>
      <c r="C50" s="23"/>
      <c r="D50" s="23"/>
      <c r="E50" s="23"/>
      <c r="F50" s="23"/>
      <c r="G50" s="54"/>
      <c r="I50" s="23"/>
      <c r="J50" s="23"/>
      <c r="K50" s="23"/>
      <c r="L50" s="23"/>
      <c r="M50" s="54"/>
      <c r="O50" s="23"/>
      <c r="P50" s="23"/>
      <c r="Q50" s="23"/>
      <c r="R50" s="23"/>
      <c r="S50" s="54"/>
      <c r="Y50" s="72"/>
      <c r="AE50" s="72"/>
      <c r="AK50" s="72"/>
      <c r="AQ50" s="72"/>
      <c r="AW50" s="72"/>
      <c r="BC50" s="72"/>
      <c r="BI50" s="72"/>
      <c r="BO50" s="72"/>
      <c r="BU50" s="72"/>
    </row>
    <row r="51" spans="1:216" hidden="1">
      <c r="A51" s="2" t="s">
        <v>32</v>
      </c>
      <c r="C51" s="23"/>
      <c r="D51" s="23"/>
      <c r="E51" s="23"/>
      <c r="F51" s="23"/>
      <c r="G51" s="54"/>
      <c r="I51" s="23"/>
      <c r="J51" s="23"/>
      <c r="K51" s="23"/>
      <c r="L51" s="23"/>
      <c r="M51" s="54"/>
      <c r="O51" s="23"/>
      <c r="P51" s="23"/>
      <c r="Q51" s="23"/>
      <c r="R51" s="23"/>
      <c r="S51" s="54"/>
      <c r="Y51" s="72"/>
      <c r="AE51" s="72"/>
      <c r="AK51" s="72"/>
      <c r="AQ51" s="72"/>
      <c r="AW51" s="72"/>
      <c r="BC51" s="72"/>
      <c r="BI51" s="72"/>
      <c r="BO51" s="72"/>
      <c r="BU51" s="72"/>
    </row>
    <row r="52" spans="1:216" s="5" customFormat="1" ht="18.75" hidden="1" customHeight="1">
      <c r="C52" s="6"/>
      <c r="D52" s="6"/>
      <c r="E52" s="6"/>
      <c r="F52" s="6"/>
      <c r="G52" s="54"/>
      <c r="I52" s="6"/>
      <c r="J52" s="6"/>
      <c r="K52" s="6"/>
      <c r="L52" s="6"/>
      <c r="M52" s="54"/>
      <c r="O52" s="6"/>
      <c r="P52" s="6"/>
      <c r="Q52" s="6"/>
      <c r="R52" s="6"/>
      <c r="S52" s="54"/>
      <c r="Y52" s="46"/>
      <c r="AE52" s="46"/>
      <c r="AK52" s="46"/>
      <c r="AQ52" s="46"/>
      <c r="AW52" s="46"/>
      <c r="BC52" s="46"/>
      <c r="BI52" s="46"/>
      <c r="BO52" s="46"/>
      <c r="BU52" s="46"/>
      <c r="HH52" s="26"/>
    </row>
    <row r="53" spans="1:216" s="5" customFormat="1" ht="18.75" hidden="1" customHeight="1">
      <c r="A53" s="5" t="s">
        <v>47</v>
      </c>
      <c r="C53" s="29"/>
      <c r="D53" s="29"/>
      <c r="E53" s="29"/>
      <c r="F53" s="29"/>
      <c r="G53" s="95"/>
      <c r="I53" s="29"/>
      <c r="J53" s="29"/>
      <c r="K53" s="29"/>
      <c r="L53" s="29"/>
      <c r="M53" s="95"/>
      <c r="O53" s="29"/>
      <c r="P53" s="29"/>
      <c r="Q53" s="29"/>
      <c r="R53" s="29"/>
      <c r="S53" s="95"/>
      <c r="Y53" s="46"/>
      <c r="AE53" s="46"/>
      <c r="AK53" s="46"/>
      <c r="AQ53" s="46"/>
      <c r="AW53" s="46"/>
      <c r="BC53" s="46"/>
      <c r="BI53" s="46"/>
      <c r="BO53" s="46"/>
      <c r="BU53" s="46"/>
      <c r="HH53" s="27"/>
    </row>
    <row r="54" spans="1:216" s="5" customFormat="1" ht="18.75" hidden="1" customHeight="1">
      <c r="A54" s="5" t="s">
        <v>76</v>
      </c>
      <c r="C54" s="29"/>
      <c r="D54" s="29"/>
      <c r="E54" s="29"/>
      <c r="F54" s="29"/>
      <c r="G54" s="95"/>
      <c r="I54" s="29"/>
      <c r="J54" s="29"/>
      <c r="K54" s="29"/>
      <c r="L54" s="29"/>
      <c r="M54" s="95"/>
      <c r="O54" s="29"/>
      <c r="P54" s="29"/>
      <c r="Q54" s="29"/>
      <c r="R54" s="29"/>
      <c r="S54" s="95"/>
      <c r="Y54" s="46"/>
      <c r="AE54" s="46"/>
      <c r="AK54" s="46"/>
      <c r="AQ54" s="46"/>
      <c r="AW54" s="46"/>
      <c r="BC54" s="46"/>
      <c r="BI54" s="46"/>
      <c r="BO54" s="46"/>
      <c r="BU54" s="46"/>
      <c r="HH54" s="27"/>
    </row>
    <row r="55" spans="1:216" s="5" customFormat="1" ht="18.75" hidden="1" customHeight="1">
      <c r="A55" s="5" t="s">
        <v>77</v>
      </c>
      <c r="C55" s="29"/>
      <c r="D55" s="29"/>
      <c r="E55" s="29"/>
      <c r="F55" s="29"/>
      <c r="G55" s="95"/>
      <c r="I55" s="29"/>
      <c r="J55" s="29"/>
      <c r="K55" s="29"/>
      <c r="L55" s="29"/>
      <c r="M55" s="95"/>
      <c r="O55" s="29"/>
      <c r="P55" s="29"/>
      <c r="Q55" s="29"/>
      <c r="R55" s="29"/>
      <c r="S55" s="95"/>
      <c r="Y55" s="46"/>
      <c r="AE55" s="46"/>
      <c r="AK55" s="46"/>
      <c r="AQ55" s="46"/>
      <c r="AW55" s="46"/>
      <c r="BC55" s="46"/>
      <c r="BI55" s="46"/>
      <c r="BO55" s="46"/>
      <c r="BU55" s="46"/>
      <c r="HH55" s="27"/>
    </row>
    <row r="56" spans="1:216" s="5" customFormat="1" ht="18.75" hidden="1" customHeight="1">
      <c r="A56" s="5" t="s">
        <v>37</v>
      </c>
      <c r="C56" s="29"/>
      <c r="D56" s="29"/>
      <c r="E56" s="29"/>
      <c r="F56" s="29"/>
      <c r="G56" s="95"/>
      <c r="I56" s="29"/>
      <c r="J56" s="29"/>
      <c r="K56" s="29"/>
      <c r="L56" s="29"/>
      <c r="M56" s="95"/>
      <c r="O56" s="29"/>
      <c r="P56" s="29"/>
      <c r="Q56" s="29"/>
      <c r="R56" s="29"/>
      <c r="S56" s="95"/>
      <c r="Y56" s="46"/>
      <c r="AE56" s="46"/>
      <c r="AK56" s="46"/>
      <c r="AQ56" s="46"/>
      <c r="AW56" s="46"/>
      <c r="BC56" s="46"/>
      <c r="BI56" s="46"/>
      <c r="BO56" s="46"/>
      <c r="BU56" s="46"/>
      <c r="HH56" s="27"/>
    </row>
    <row r="57" spans="1:216" s="1" customFormat="1" ht="18.75" hidden="1" customHeight="1">
      <c r="C57" s="6"/>
      <c r="D57" s="6"/>
      <c r="E57" s="6"/>
      <c r="F57" s="6"/>
      <c r="G57" s="54"/>
      <c r="I57" s="6"/>
      <c r="J57" s="6"/>
      <c r="K57" s="6"/>
      <c r="L57" s="6"/>
      <c r="M57" s="54"/>
      <c r="O57" s="6"/>
      <c r="P57" s="6"/>
      <c r="Q57" s="6"/>
      <c r="R57" s="6"/>
      <c r="S57" s="54"/>
      <c r="Y57" s="46"/>
      <c r="AE57" s="46"/>
      <c r="AK57" s="46"/>
      <c r="AQ57" s="46"/>
      <c r="AW57" s="46"/>
      <c r="BC57" s="46"/>
      <c r="BI57" s="46"/>
      <c r="BO57" s="46"/>
      <c r="BU57" s="46"/>
      <c r="HH57" s="4"/>
    </row>
    <row r="58" spans="1:216" s="1" customFormat="1" ht="18.75" hidden="1" customHeight="1">
      <c r="C58" s="6"/>
      <c r="D58" s="6"/>
      <c r="E58" s="6"/>
      <c r="F58" s="6"/>
      <c r="G58" s="54"/>
      <c r="I58" s="6"/>
      <c r="J58" s="6"/>
      <c r="K58" s="6"/>
      <c r="L58" s="6"/>
      <c r="M58" s="54"/>
      <c r="O58" s="6"/>
      <c r="P58" s="6"/>
      <c r="Q58" s="6"/>
      <c r="R58" s="6"/>
      <c r="S58" s="54"/>
      <c r="Y58" s="46"/>
      <c r="AE58" s="46"/>
      <c r="AK58" s="46"/>
      <c r="AQ58" s="46"/>
      <c r="AW58" s="46"/>
      <c r="BC58" s="46"/>
      <c r="BI58" s="46"/>
      <c r="BO58" s="46"/>
      <c r="BU58" s="46"/>
      <c r="HH58" s="4"/>
    </row>
    <row r="59" spans="1:216">
      <c r="C59" s="7"/>
      <c r="D59" s="7"/>
      <c r="E59" s="7"/>
      <c r="F59" s="7"/>
      <c r="G59" s="47"/>
      <c r="I59" s="7"/>
      <c r="J59" s="7"/>
      <c r="K59" s="7"/>
      <c r="L59" s="7"/>
      <c r="M59" s="47"/>
      <c r="O59" s="7"/>
      <c r="P59" s="7"/>
      <c r="Q59" s="7"/>
      <c r="R59" s="7"/>
      <c r="S59" s="47"/>
      <c r="Y59" s="72"/>
      <c r="AE59" s="72"/>
      <c r="AK59" s="72"/>
      <c r="AQ59" s="72"/>
      <c r="AW59" s="72"/>
      <c r="BC59" s="72"/>
      <c r="BI59" s="72"/>
      <c r="BO59" s="72"/>
      <c r="BU59" s="72"/>
    </row>
    <row r="60" spans="1:216">
      <c r="A60" s="5" t="s">
        <v>2</v>
      </c>
      <c r="C60" s="7"/>
      <c r="D60" s="7"/>
      <c r="E60" s="7"/>
      <c r="F60" s="7"/>
      <c r="G60" s="47"/>
      <c r="I60" s="7"/>
      <c r="J60" s="7"/>
      <c r="K60" s="7"/>
      <c r="L60" s="7"/>
      <c r="M60" s="47"/>
      <c r="O60" s="7"/>
      <c r="P60" s="7"/>
      <c r="Q60" s="7"/>
      <c r="R60" s="7"/>
      <c r="S60" s="47"/>
      <c r="U60" s="7"/>
      <c r="V60" s="7"/>
      <c r="W60" s="7"/>
      <c r="X60" s="7"/>
      <c r="Y60" s="47"/>
      <c r="AA60" s="7"/>
      <c r="AB60" s="7"/>
      <c r="AC60" s="7"/>
      <c r="AD60" s="7"/>
      <c r="AE60" s="47"/>
      <c r="AG60" s="7"/>
      <c r="AH60" s="7"/>
      <c r="AI60" s="7"/>
      <c r="AJ60" s="7"/>
      <c r="AK60" s="47"/>
      <c r="AM60" s="7"/>
      <c r="AN60" s="7"/>
      <c r="AO60" s="7"/>
      <c r="AP60" s="7"/>
      <c r="AQ60" s="47"/>
      <c r="AS60" s="7"/>
      <c r="AT60" s="7"/>
      <c r="AU60" s="7"/>
      <c r="AV60" s="7"/>
      <c r="AW60" s="47"/>
      <c r="AY60" s="7"/>
      <c r="AZ60" s="7"/>
      <c r="BA60" s="7"/>
      <c r="BB60" s="7"/>
      <c r="BC60" s="47"/>
      <c r="BE60" s="7"/>
      <c r="BF60" s="7"/>
      <c r="BG60" s="7"/>
      <c r="BH60" s="7"/>
      <c r="BI60" s="47"/>
      <c r="BK60" s="7"/>
      <c r="BL60" s="7"/>
      <c r="BM60" s="7"/>
      <c r="BN60" s="7"/>
      <c r="BO60" s="47"/>
      <c r="BQ60" s="7"/>
      <c r="BR60" s="7"/>
      <c r="BS60" s="7"/>
      <c r="BT60" s="7"/>
      <c r="BU60" s="47"/>
    </row>
    <row r="61" spans="1:216">
      <c r="A61" s="2" t="s">
        <v>101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116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116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116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116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97">
        <v>6.4429530201342278</v>
      </c>
      <c r="AE61" s="116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97">
        <v>-2.8187919463087248</v>
      </c>
      <c r="AK61" s="116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97">
        <v>-8.5906040268456376</v>
      </c>
      <c r="AQ61" s="116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97">
        <v>3.087248322147651</v>
      </c>
      <c r="AW61" s="116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97">
        <v>2.9530201342281877</v>
      </c>
      <c r="BC61" s="116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97">
        <v>-1.0738255033557047</v>
      </c>
      <c r="BI61" s="116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97">
        <v>-3.3</v>
      </c>
      <c r="BO61" s="116">
        <f>SUM(BK61:BN61)</f>
        <v>-23.568456375838924</v>
      </c>
      <c r="BP61" s="31"/>
      <c r="BQ61" s="31">
        <v>0.3</v>
      </c>
      <c r="BR61" s="31">
        <v>10.1</v>
      </c>
      <c r="BS61" s="31"/>
      <c r="BT61" s="197"/>
      <c r="BU61" s="116">
        <f>SUM(BQ61:BT61)</f>
        <v>10.4</v>
      </c>
      <c r="BV61" s="31"/>
      <c r="BW61" s="31"/>
      <c r="BX61" s="31"/>
      <c r="BY61" s="31"/>
      <c r="BZ61" s="31"/>
      <c r="CA61" s="31"/>
      <c r="CB61" s="31"/>
    </row>
    <row r="62" spans="1:216">
      <c r="A62" s="2" t="s">
        <v>150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116">
        <f t="shared" ref="G62:G67" si="67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116">
        <f t="shared" ref="M62:M67" si="68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116">
        <f t="shared" ref="S62:S67" si="69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116">
        <f t="shared" ref="Y62:Y67" si="70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97">
        <v>5.2348993288590604</v>
      </c>
      <c r="AE62" s="116">
        <f t="shared" ref="AE62:AE67" si="71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97">
        <v>6.8456375838926169</v>
      </c>
      <c r="AK62" s="116">
        <f t="shared" ref="AK62:AK67" si="72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97">
        <v>15.570469798657717</v>
      </c>
      <c r="AQ62" s="116">
        <f t="shared" ref="AQ62:AQ67" si="73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97">
        <v>19.597315436241612</v>
      </c>
      <c r="AW62" s="116">
        <f t="shared" ref="AW62:AW67" si="74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97">
        <v>20.671140939597315</v>
      </c>
      <c r="BC62" s="116">
        <f t="shared" ref="BC62:BC67" si="75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97">
        <v>22.14765100671141</v>
      </c>
      <c r="BI62" s="116">
        <f t="shared" ref="BI62:BI67" si="76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97">
        <v>13.9</v>
      </c>
      <c r="BO62" s="116">
        <f t="shared" ref="BO62:BO67" si="77">SUM(BK62:BN62)</f>
        <v>63.698657718120806</v>
      </c>
      <c r="BP62" s="31"/>
      <c r="BQ62" s="31">
        <v>17.600000000000001</v>
      </c>
      <c r="BR62" s="31">
        <v>22.6</v>
      </c>
      <c r="BS62" s="31"/>
      <c r="BT62" s="197"/>
      <c r="BU62" s="116">
        <f t="shared" ref="BU62:BU67" si="78">SUM(BQ62:BT62)</f>
        <v>40.200000000000003</v>
      </c>
      <c r="BV62" s="31"/>
      <c r="BW62" s="31"/>
      <c r="BX62" s="31"/>
      <c r="BY62" s="31"/>
      <c r="BZ62" s="31"/>
      <c r="CA62" s="31"/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116">
        <f t="shared" si="67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116">
        <f t="shared" si="68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116">
        <f t="shared" si="69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116">
        <f t="shared" si="70"/>
        <v>0</v>
      </c>
      <c r="Z63" s="31"/>
      <c r="AA63" s="31">
        <v>0</v>
      </c>
      <c r="AB63" s="31">
        <v>0</v>
      </c>
      <c r="AC63" s="31">
        <v>0</v>
      </c>
      <c r="AD63" s="197">
        <v>0</v>
      </c>
      <c r="AE63" s="116">
        <f t="shared" si="71"/>
        <v>0</v>
      </c>
      <c r="AF63" s="31"/>
      <c r="AG63" s="31">
        <v>0</v>
      </c>
      <c r="AH63" s="31">
        <v>0</v>
      </c>
      <c r="AI63" s="31">
        <v>0</v>
      </c>
      <c r="AJ63" s="197">
        <v>0</v>
      </c>
      <c r="AK63" s="116">
        <f t="shared" si="72"/>
        <v>0</v>
      </c>
      <c r="AL63" s="31"/>
      <c r="AM63" s="31">
        <v>0</v>
      </c>
      <c r="AN63" s="31">
        <v>0</v>
      </c>
      <c r="AO63" s="31">
        <v>0</v>
      </c>
      <c r="AP63" s="197">
        <v>0</v>
      </c>
      <c r="AQ63" s="116">
        <f t="shared" si="73"/>
        <v>0</v>
      </c>
      <c r="AR63" s="31"/>
      <c r="AS63" s="31">
        <v>0</v>
      </c>
      <c r="AT63" s="31">
        <v>0</v>
      </c>
      <c r="AU63" s="31">
        <v>0</v>
      </c>
      <c r="AV63" s="197">
        <v>0</v>
      </c>
      <c r="AW63" s="116">
        <f t="shared" si="74"/>
        <v>0</v>
      </c>
      <c r="AX63" s="31"/>
      <c r="AY63" s="31"/>
      <c r="AZ63" s="31"/>
      <c r="BA63" s="31"/>
      <c r="BB63" s="197"/>
      <c r="BC63" s="116">
        <f t="shared" si="75"/>
        <v>0</v>
      </c>
      <c r="BD63" s="31"/>
      <c r="BE63" s="31"/>
      <c r="BF63" s="31"/>
      <c r="BG63" s="31"/>
      <c r="BH63" s="197"/>
      <c r="BI63" s="116">
        <f t="shared" si="76"/>
        <v>0</v>
      </c>
      <c r="BJ63" s="31"/>
      <c r="BK63" s="31"/>
      <c r="BL63" s="31"/>
      <c r="BM63" s="31"/>
      <c r="BN63" s="197"/>
      <c r="BO63" s="116">
        <f t="shared" si="77"/>
        <v>0</v>
      </c>
      <c r="BP63" s="31"/>
      <c r="BQ63" s="31"/>
      <c r="BR63" s="31"/>
      <c r="BS63" s="31"/>
      <c r="BT63" s="197"/>
      <c r="BU63" s="116">
        <f t="shared" si="78"/>
        <v>0</v>
      </c>
      <c r="BV63" s="31"/>
      <c r="BW63" s="31"/>
      <c r="BX63" s="31"/>
      <c r="BY63" s="31"/>
      <c r="BZ63" s="31"/>
      <c r="CA63" s="31"/>
      <c r="CB63" s="31"/>
    </row>
    <row r="64" spans="1:216">
      <c r="A64" s="2" t="s">
        <v>117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116">
        <f t="shared" si="67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116">
        <f t="shared" si="68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116">
        <f t="shared" si="69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116">
        <f t="shared" si="70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97">
        <v>2.2818791946308723</v>
      </c>
      <c r="AE64" s="116">
        <f t="shared" si="71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97">
        <v>4.4295302013422821</v>
      </c>
      <c r="AK64" s="116">
        <f t="shared" si="72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97">
        <v>2.5503355704697985</v>
      </c>
      <c r="AQ64" s="116">
        <f t="shared" si="73"/>
        <v>21.208053691275168</v>
      </c>
      <c r="AR64" s="31"/>
      <c r="AS64" s="211">
        <v>0</v>
      </c>
      <c r="AT64" s="211">
        <v>0</v>
      </c>
      <c r="AU64" s="31">
        <v>0</v>
      </c>
      <c r="AV64" s="197">
        <v>0</v>
      </c>
      <c r="AW64" s="116">
        <f t="shared" si="74"/>
        <v>0</v>
      </c>
      <c r="AX64" s="31"/>
      <c r="AY64" s="211"/>
      <c r="AZ64" s="211"/>
      <c r="BA64" s="31"/>
      <c r="BB64" s="197"/>
      <c r="BC64" s="116">
        <f t="shared" si="75"/>
        <v>0</v>
      </c>
      <c r="BD64" s="31"/>
      <c r="BE64" s="211"/>
      <c r="BF64" s="211"/>
      <c r="BG64" s="31"/>
      <c r="BH64" s="197"/>
      <c r="BI64" s="116">
        <f t="shared" si="76"/>
        <v>0</v>
      </c>
      <c r="BJ64" s="31"/>
      <c r="BK64" s="211"/>
      <c r="BL64" s="211"/>
      <c r="BM64" s="31"/>
      <c r="BN64" s="197"/>
      <c r="BO64" s="116">
        <f t="shared" si="77"/>
        <v>0</v>
      </c>
      <c r="BP64" s="31"/>
      <c r="BQ64" s="211"/>
      <c r="BR64" s="211"/>
      <c r="BS64" s="31"/>
      <c r="BT64" s="197"/>
      <c r="BU64" s="116">
        <f t="shared" si="78"/>
        <v>0</v>
      </c>
      <c r="BV64" s="31"/>
      <c r="BW64" s="31"/>
      <c r="BX64" s="31"/>
      <c r="BY64" s="31"/>
      <c r="BZ64" s="31"/>
      <c r="CA64" s="31"/>
      <c r="CB64" s="31"/>
    </row>
    <row r="65" spans="1:216">
      <c r="A65" s="2" t="s">
        <v>99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116">
        <f t="shared" si="67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116">
        <f t="shared" si="68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116">
        <f t="shared" si="69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116">
        <f t="shared" si="70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97">
        <v>-0.80536912751677847</v>
      </c>
      <c r="AE65" s="116">
        <f t="shared" si="71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97">
        <v>-0.13422818791946309</v>
      </c>
      <c r="AK65" s="116">
        <f t="shared" si="72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97">
        <v>0.53691275167785235</v>
      </c>
      <c r="AQ65" s="116">
        <f t="shared" si="73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97">
        <v>1.3422818791946309</v>
      </c>
      <c r="AW65" s="116">
        <f t="shared" si="74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97">
        <v>-0.13422818791946309</v>
      </c>
      <c r="BC65" s="116">
        <f t="shared" si="75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97">
        <v>2.1476510067114094</v>
      </c>
      <c r="BI65" s="116">
        <f t="shared" si="76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97">
        <v>2.1</v>
      </c>
      <c r="BO65" s="116">
        <f t="shared" si="77"/>
        <v>-2.4637583892617454</v>
      </c>
      <c r="BP65" s="31"/>
      <c r="BQ65" s="31">
        <v>-1</v>
      </c>
      <c r="BR65" s="31">
        <v>-1.6</v>
      </c>
      <c r="BS65" s="31"/>
      <c r="BT65" s="197"/>
      <c r="BU65" s="116">
        <f t="shared" si="78"/>
        <v>-2.6</v>
      </c>
      <c r="BV65" s="31"/>
      <c r="BW65" s="31"/>
      <c r="BX65" s="31"/>
      <c r="BY65" s="31"/>
      <c r="BZ65" s="31"/>
      <c r="CA65" s="31"/>
      <c r="CB65" s="31"/>
    </row>
    <row r="66" spans="1:216" hidden="1">
      <c r="A66" s="2" t="s">
        <v>35</v>
      </c>
      <c r="C66" s="31">
        <v>0</v>
      </c>
      <c r="D66" s="31">
        <v>0</v>
      </c>
      <c r="E66" s="31">
        <v>0</v>
      </c>
      <c r="F66" s="31">
        <v>0</v>
      </c>
      <c r="G66" s="116">
        <f t="shared" si="67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116">
        <f t="shared" si="68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116">
        <f t="shared" si="69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116">
        <f t="shared" si="70"/>
        <v>0</v>
      </c>
      <c r="Z66" s="31"/>
      <c r="AA66" s="31">
        <v>0</v>
      </c>
      <c r="AB66" s="31">
        <v>0</v>
      </c>
      <c r="AC66" s="31">
        <v>0</v>
      </c>
      <c r="AD66" s="197">
        <v>0</v>
      </c>
      <c r="AE66" s="116">
        <f t="shared" si="71"/>
        <v>0</v>
      </c>
      <c r="AF66" s="31"/>
      <c r="AG66" s="31">
        <v>0</v>
      </c>
      <c r="AH66" s="31">
        <v>0</v>
      </c>
      <c r="AI66" s="31">
        <v>0</v>
      </c>
      <c r="AJ66" s="197">
        <v>0</v>
      </c>
      <c r="AK66" s="116">
        <f t="shared" si="72"/>
        <v>0</v>
      </c>
      <c r="AL66" s="31"/>
      <c r="AM66" s="31">
        <v>0</v>
      </c>
      <c r="AN66" s="31">
        <v>0</v>
      </c>
      <c r="AO66" s="31">
        <v>0</v>
      </c>
      <c r="AP66" s="197">
        <v>0</v>
      </c>
      <c r="AQ66" s="116">
        <f t="shared" si="73"/>
        <v>0</v>
      </c>
      <c r="AR66" s="31"/>
      <c r="AS66" s="31">
        <v>0</v>
      </c>
      <c r="AT66" s="31">
        <v>0</v>
      </c>
      <c r="AU66" s="31">
        <v>0</v>
      </c>
      <c r="AV66" s="197">
        <v>0</v>
      </c>
      <c r="AW66" s="116">
        <f t="shared" si="74"/>
        <v>0</v>
      </c>
      <c r="AX66" s="31"/>
      <c r="AY66" s="31">
        <v>0</v>
      </c>
      <c r="AZ66" s="31">
        <v>0</v>
      </c>
      <c r="BA66" s="31">
        <v>0</v>
      </c>
      <c r="BB66" s="197">
        <v>0</v>
      </c>
      <c r="BC66" s="116">
        <f t="shared" si="75"/>
        <v>0</v>
      </c>
      <c r="BD66" s="31"/>
      <c r="BE66" s="31">
        <v>0</v>
      </c>
      <c r="BF66" s="31">
        <v>0</v>
      </c>
      <c r="BG66" s="31">
        <v>0</v>
      </c>
      <c r="BH66" s="197">
        <v>0</v>
      </c>
      <c r="BI66" s="116">
        <f t="shared" si="76"/>
        <v>0</v>
      </c>
      <c r="BJ66" s="31"/>
      <c r="BK66" s="31">
        <v>0</v>
      </c>
      <c r="BL66" s="31">
        <v>0</v>
      </c>
      <c r="BM66" s="31">
        <v>0</v>
      </c>
      <c r="BN66" s="197"/>
      <c r="BO66" s="116">
        <f t="shared" si="77"/>
        <v>0</v>
      </c>
      <c r="BP66" s="31"/>
      <c r="BQ66" s="31">
        <v>0</v>
      </c>
      <c r="BR66" s="31"/>
      <c r="BS66" s="31"/>
      <c r="BT66" s="197"/>
      <c r="BU66" s="116">
        <f t="shared" si="78"/>
        <v>0</v>
      </c>
      <c r="BV66" s="31"/>
      <c r="BW66" s="31"/>
      <c r="BX66" s="31"/>
      <c r="BY66" s="31"/>
      <c r="BZ66" s="31"/>
      <c r="CA66" s="31"/>
      <c r="CB66" s="31"/>
    </row>
    <row r="67" spans="1:216">
      <c r="A67" s="2" t="s">
        <v>72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116">
        <f t="shared" si="67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116">
        <f t="shared" si="68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116">
        <f t="shared" si="69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116">
        <f t="shared" si="70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97">
        <v>0.67114093959731547</v>
      </c>
      <c r="AE67" s="116">
        <f t="shared" si="71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97">
        <v>-1.3422818791946309</v>
      </c>
      <c r="AK67" s="116">
        <f t="shared" si="72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97">
        <v>-1.0738255033557047</v>
      </c>
      <c r="AQ67" s="116">
        <f t="shared" si="73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97">
        <v>-1.3422818791946309</v>
      </c>
      <c r="AW67" s="116">
        <f t="shared" si="74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97">
        <v>-1.2080536912751678</v>
      </c>
      <c r="BC67" s="116">
        <f t="shared" si="75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97">
        <v>-1.6107382550335569</v>
      </c>
      <c r="BI67" s="116">
        <f t="shared" si="76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97">
        <v>-0.9</v>
      </c>
      <c r="BO67" s="116">
        <f t="shared" si="77"/>
        <v>-3.4503355704697989</v>
      </c>
      <c r="BP67" s="31"/>
      <c r="BQ67" s="31">
        <v>-0.67114093959731547</v>
      </c>
      <c r="BR67" s="31">
        <v>-0.8</v>
      </c>
      <c r="BS67" s="31"/>
      <c r="BT67" s="197"/>
      <c r="BU67" s="116">
        <f t="shared" si="78"/>
        <v>-1.4711409395973156</v>
      </c>
      <c r="BV67" s="31"/>
      <c r="BW67" s="31"/>
      <c r="BX67" s="31"/>
      <c r="BY67" s="31"/>
      <c r="BZ67" s="31"/>
      <c r="CA67" s="31"/>
      <c r="CB67" s="31"/>
    </row>
    <row r="68" spans="1:216" s="85" customFormat="1" ht="18.75" customHeight="1">
      <c r="C68" s="198">
        <f>SUM(C60:C67)</f>
        <v>9.9328859060402692</v>
      </c>
      <c r="D68" s="198">
        <f>SUM(D60:D67)</f>
        <v>16.778523489932891</v>
      </c>
      <c r="E68" s="198">
        <f>SUM(E60:E67)</f>
        <v>18.657718120805367</v>
      </c>
      <c r="F68" s="198">
        <f>SUM(F60:F67)</f>
        <v>19.73154362416107</v>
      </c>
      <c r="G68" s="199">
        <f>SUM(G60:G67)</f>
        <v>65.10067114093961</v>
      </c>
      <c r="H68" s="198"/>
      <c r="I68" s="198">
        <f>SUM(I60:I67)</f>
        <v>16.644295302013425</v>
      </c>
      <c r="J68" s="198">
        <f>SUM(J60:J67)</f>
        <v>43.489932885906036</v>
      </c>
      <c r="K68" s="198">
        <f>SUM(K60:K67)</f>
        <v>27.114093959731537</v>
      </c>
      <c r="L68" s="198">
        <f>SUM(L60:L67)</f>
        <v>22.550335570469798</v>
      </c>
      <c r="M68" s="199">
        <f>SUM(M60:M67)</f>
        <v>109.79865771812084</v>
      </c>
      <c r="N68" s="198"/>
      <c r="O68" s="198">
        <f>SUM(O60:O67)</f>
        <v>25.63758389261745</v>
      </c>
      <c r="P68" s="198">
        <f>SUM(P60:P67)</f>
        <v>44.429530201342288</v>
      </c>
      <c r="Q68" s="198">
        <f>SUM(Q60:Q67)</f>
        <v>33.288590604026844</v>
      </c>
      <c r="R68" s="198">
        <f>SUM(R60:R67)</f>
        <v>48.724832214765101</v>
      </c>
      <c r="S68" s="199">
        <f>SUM(S60:S67)</f>
        <v>152.08053691275168</v>
      </c>
      <c r="T68" s="198"/>
      <c r="U68" s="198">
        <f>SUM(U60:U67)</f>
        <v>30.335570469798661</v>
      </c>
      <c r="V68" s="198">
        <f>SUM(V60:V67)</f>
        <v>50.604026845637591</v>
      </c>
      <c r="W68" s="198">
        <f>SUM(W60:W67)</f>
        <v>32.348993288590599</v>
      </c>
      <c r="X68" s="198">
        <f>SUM(X60:X67)</f>
        <v>-3.4899328859060406</v>
      </c>
      <c r="Y68" s="199">
        <f>SUM(Y60:Y67)</f>
        <v>109.79865771812081</v>
      </c>
      <c r="Z68" s="198"/>
      <c r="AA68" s="198">
        <f>SUM(AA60:AA67)</f>
        <v>4.8322147651006713</v>
      </c>
      <c r="AB68" s="198">
        <f>SUM(AB60:AB67)</f>
        <v>19.597315436241612</v>
      </c>
      <c r="AC68" s="198">
        <f>SUM(AC60:AC67)</f>
        <v>17.583892617449663</v>
      </c>
      <c r="AD68" s="198">
        <f>SUM(AD60:AD67)</f>
        <v>13.825503355704695</v>
      </c>
      <c r="AE68" s="199">
        <f>SUM(AE60:AE67)</f>
        <v>55.838926174496642</v>
      </c>
      <c r="AF68" s="198"/>
      <c r="AG68" s="198">
        <f>SUM(AG60:AG67)</f>
        <v>16.107382550335572</v>
      </c>
      <c r="AH68" s="198">
        <f>SUM(AH60:AH67)</f>
        <v>21.476510067114098</v>
      </c>
      <c r="AI68" s="198">
        <f>SUM(AI60:AI67)</f>
        <v>19.865771812080538</v>
      </c>
      <c r="AJ68" s="198">
        <f>SUM(AJ60:AJ67)</f>
        <v>6.9798657718120802</v>
      </c>
      <c r="AK68" s="199">
        <f>SUM(AK60:AK67)</f>
        <v>64.429530201342288</v>
      </c>
      <c r="AL68" s="198"/>
      <c r="AM68" s="198">
        <f>SUM(AM60:AM67)</f>
        <v>13.020134228187921</v>
      </c>
      <c r="AN68" s="198">
        <f>SUM(AN60:AN67)</f>
        <v>12.885906040268456</v>
      </c>
      <c r="AO68" s="198">
        <f>SUM(AO60:AO67)</f>
        <v>24.832214765100673</v>
      </c>
      <c r="AP68" s="198">
        <f>SUM(AP60:AP67)</f>
        <v>8.9932885906040241</v>
      </c>
      <c r="AQ68" s="199">
        <f>SUM(AQ60:AQ67)</f>
        <v>59.731543624161063</v>
      </c>
      <c r="AR68" s="198"/>
      <c r="AS68" s="198">
        <f>SUM(AS60:AS67)</f>
        <v>13.825503355704699</v>
      </c>
      <c r="AT68" s="198">
        <f>SUM(AT60:AT67)</f>
        <v>13.288590604026844</v>
      </c>
      <c r="AU68" s="198">
        <f>SUM(AU60:AU67)</f>
        <v>13.691275167785236</v>
      </c>
      <c r="AV68" s="198">
        <f>SUM(AV60:AV67)</f>
        <v>22.684563758389263</v>
      </c>
      <c r="AW68" s="199">
        <f>SUM(AW60:AW67)</f>
        <v>63.489932885906043</v>
      </c>
      <c r="AX68" s="198"/>
      <c r="AY68" s="198">
        <f>SUM(AY60:AY67)</f>
        <v>11.812080536912749</v>
      </c>
      <c r="AZ68" s="198">
        <f>SUM(AZ60:AZ67)</f>
        <v>20</v>
      </c>
      <c r="BA68" s="198">
        <f>SUM(BA60:BA67)</f>
        <v>14.093959731543626</v>
      </c>
      <c r="BB68" s="198">
        <f>SUM(BB60:BB67)</f>
        <v>22.281879194630871</v>
      </c>
      <c r="BC68" s="199">
        <f>SUM(BC60:BC67)</f>
        <v>68.187919463087241</v>
      </c>
      <c r="BD68" s="198"/>
      <c r="BE68" s="198">
        <f>SUM(BE60:BE67)</f>
        <v>21.61073825503356</v>
      </c>
      <c r="BF68" s="198">
        <f>SUM(BF60:BF67)</f>
        <v>11.543624161073826</v>
      </c>
      <c r="BG68" s="198">
        <f>SUM(BG60:BG67)</f>
        <v>13.020134228187919</v>
      </c>
      <c r="BH68" s="198">
        <f>SUM(BH60:BH67)</f>
        <v>21.61073825503356</v>
      </c>
      <c r="BI68" s="199">
        <f>SUM(BI60:BI67)</f>
        <v>67.785234899328842</v>
      </c>
      <c r="BJ68" s="198"/>
      <c r="BK68" s="198">
        <f>SUM(BK60:BK67)</f>
        <v>14.496644295302016</v>
      </c>
      <c r="BL68" s="198">
        <f>SUM(BL60:BL67)</f>
        <v>-5.6375838926174477</v>
      </c>
      <c r="BM68" s="198">
        <f>SUM(BM60:BM67)</f>
        <v>13.557046979865772</v>
      </c>
      <c r="BN68" s="198">
        <f>SUM(BN60:BN67)</f>
        <v>11.8</v>
      </c>
      <c r="BO68" s="199">
        <f>SUM(BO60:BO67)</f>
        <v>34.216107382550334</v>
      </c>
      <c r="BP68" s="198"/>
      <c r="BQ68" s="198">
        <f>SUM(BQ60:BQ67)</f>
        <v>16.228859060402687</v>
      </c>
      <c r="BR68" s="198">
        <f>SUM(BR60:BR67)</f>
        <v>30.3</v>
      </c>
      <c r="BS68" s="198"/>
      <c r="BT68" s="198"/>
      <c r="BU68" s="199">
        <f>SUM(BU60:BU67)</f>
        <v>46.528859060402681</v>
      </c>
      <c r="BV68" s="198"/>
      <c r="BW68" s="198"/>
      <c r="BX68" s="198"/>
      <c r="BY68" s="198"/>
      <c r="BZ68" s="198"/>
      <c r="CA68" s="198"/>
      <c r="CB68" s="198"/>
    </row>
    <row r="69" spans="1:216" s="89" customFormat="1">
      <c r="C69" s="212"/>
      <c r="D69" s="212"/>
      <c r="E69" s="212"/>
      <c r="F69" s="212"/>
      <c r="G69" s="201"/>
      <c r="H69" s="212"/>
      <c r="I69" s="212"/>
      <c r="J69" s="212"/>
      <c r="K69" s="212"/>
      <c r="L69" s="212"/>
      <c r="M69" s="201"/>
      <c r="N69" s="212"/>
      <c r="O69" s="212"/>
      <c r="P69" s="212"/>
      <c r="Q69" s="212"/>
      <c r="R69" s="212"/>
      <c r="S69" s="201"/>
      <c r="T69" s="212"/>
      <c r="U69" s="212"/>
      <c r="V69" s="212"/>
      <c r="W69" s="212"/>
      <c r="X69" s="212"/>
      <c r="Y69" s="201"/>
      <c r="Z69" s="212"/>
      <c r="AA69" s="212"/>
      <c r="AB69" s="212"/>
      <c r="AC69" s="212"/>
      <c r="AD69" s="212"/>
      <c r="AE69" s="201"/>
      <c r="AF69" s="212"/>
      <c r="AG69" s="212"/>
      <c r="AH69" s="212"/>
      <c r="AI69" s="212"/>
      <c r="AJ69" s="212"/>
      <c r="AK69" s="201"/>
      <c r="AL69" s="212"/>
      <c r="AM69" s="212"/>
      <c r="AN69" s="212"/>
      <c r="AO69" s="212"/>
      <c r="AP69" s="212"/>
      <c r="AQ69" s="201"/>
      <c r="AR69" s="212"/>
      <c r="AS69" s="212"/>
      <c r="AT69" s="212"/>
      <c r="AU69" s="212"/>
      <c r="AV69" s="212"/>
      <c r="AW69" s="201"/>
      <c r="AX69" s="212"/>
      <c r="AY69" s="212"/>
      <c r="AZ69" s="212"/>
      <c r="BA69" s="212"/>
      <c r="BB69" s="212"/>
      <c r="BC69" s="201"/>
      <c r="BD69" s="212"/>
      <c r="BE69" s="212"/>
      <c r="BF69" s="212"/>
      <c r="BG69" s="212"/>
      <c r="BH69" s="212"/>
      <c r="BI69" s="201"/>
      <c r="BJ69" s="212"/>
      <c r="BK69" s="212"/>
      <c r="BL69" s="212"/>
      <c r="BM69" s="212"/>
      <c r="BN69" s="212"/>
      <c r="BO69" s="201"/>
      <c r="BP69" s="212"/>
      <c r="BQ69" s="212"/>
      <c r="BR69" s="212"/>
      <c r="BS69" s="212"/>
      <c r="BT69" s="212"/>
      <c r="BU69" s="201"/>
      <c r="BV69" s="212"/>
      <c r="BW69" s="212"/>
      <c r="BX69" s="212"/>
      <c r="BY69" s="212"/>
      <c r="BZ69" s="212"/>
      <c r="CA69" s="212"/>
      <c r="CB69" s="212"/>
    </row>
    <row r="70" spans="1:216">
      <c r="A70" s="5" t="s">
        <v>33</v>
      </c>
      <c r="C70" s="31"/>
      <c r="D70" s="31"/>
      <c r="E70" s="31"/>
      <c r="F70" s="31"/>
      <c r="G70" s="129"/>
      <c r="H70" s="31"/>
      <c r="I70" s="31"/>
      <c r="J70" s="213"/>
      <c r="K70" s="213"/>
      <c r="L70" s="202"/>
      <c r="M70" s="214"/>
      <c r="N70" s="31"/>
      <c r="O70" s="31"/>
      <c r="P70" s="213"/>
      <c r="Q70" s="213"/>
      <c r="R70" s="202"/>
      <c r="S70" s="214"/>
      <c r="T70" s="31"/>
      <c r="U70" s="31"/>
      <c r="V70" s="213"/>
      <c r="W70" s="213"/>
      <c r="X70" s="202"/>
      <c r="Y70" s="214"/>
      <c r="Z70" s="31"/>
      <c r="AA70" s="31"/>
      <c r="AB70" s="213"/>
      <c r="AC70" s="213"/>
      <c r="AD70" s="202"/>
      <c r="AE70" s="214"/>
      <c r="AF70" s="31"/>
      <c r="AG70" s="31"/>
      <c r="AH70" s="213"/>
      <c r="AI70" s="213"/>
      <c r="AJ70" s="202"/>
      <c r="AK70" s="214"/>
      <c r="AL70" s="31"/>
      <c r="AM70" s="31"/>
      <c r="AN70" s="213"/>
      <c r="AO70" s="213"/>
      <c r="AP70" s="202"/>
      <c r="AQ70" s="214"/>
      <c r="AR70" s="31"/>
      <c r="AS70" s="31"/>
      <c r="AT70" s="213"/>
      <c r="AU70" s="213"/>
      <c r="AV70" s="202"/>
      <c r="AW70" s="214"/>
      <c r="AX70" s="31"/>
      <c r="AY70" s="31"/>
      <c r="AZ70" s="213"/>
      <c r="BA70" s="213"/>
      <c r="BB70" s="202"/>
      <c r="BC70" s="214"/>
      <c r="BD70" s="31"/>
      <c r="BE70" s="31"/>
      <c r="BF70" s="213"/>
      <c r="BG70" s="213"/>
      <c r="BH70" s="202"/>
      <c r="BI70" s="214"/>
      <c r="BJ70" s="31"/>
      <c r="BK70" s="31"/>
      <c r="BL70" s="213"/>
      <c r="BM70" s="213"/>
      <c r="BN70" s="202"/>
      <c r="BO70" s="214"/>
      <c r="BP70" s="31"/>
      <c r="BQ70" s="31"/>
      <c r="BR70" s="213"/>
      <c r="BS70" s="213"/>
      <c r="BT70" s="202"/>
      <c r="BU70" s="214"/>
      <c r="BV70" s="31"/>
      <c r="BW70" s="31"/>
      <c r="BX70" s="31"/>
      <c r="BY70" s="31"/>
      <c r="BZ70" s="31"/>
      <c r="CA70" s="31"/>
      <c r="CB70" s="31"/>
    </row>
    <row r="71" spans="1:216" s="89" customFormat="1">
      <c r="A71" s="89" t="s">
        <v>101</v>
      </c>
      <c r="C71" s="212">
        <v>96.510067114093957</v>
      </c>
      <c r="D71" s="212">
        <v>102.14765100671141</v>
      </c>
      <c r="E71" s="212">
        <v>118.92617449664429</v>
      </c>
      <c r="F71" s="212">
        <v>121.61073825503355</v>
      </c>
      <c r="G71" s="201"/>
      <c r="H71" s="212"/>
      <c r="I71" s="212">
        <v>157.85234899328859</v>
      </c>
      <c r="J71" s="215">
        <v>158.25503355704697</v>
      </c>
      <c r="K71" s="215">
        <v>173.15436241610738</v>
      </c>
      <c r="L71" s="212">
        <v>166.84563758389262</v>
      </c>
      <c r="M71" s="216"/>
      <c r="N71" s="212"/>
      <c r="O71" s="212">
        <v>305.7718120805369</v>
      </c>
      <c r="P71" s="215">
        <v>332.88590604026842</v>
      </c>
      <c r="Q71" s="215">
        <v>328.85906040268458</v>
      </c>
      <c r="R71" s="212">
        <v>297.98657718120802</v>
      </c>
      <c r="S71" s="216"/>
      <c r="T71" s="212"/>
      <c r="U71" s="212">
        <v>351.14093959731542</v>
      </c>
      <c r="V71" s="215">
        <v>398.25503355704694</v>
      </c>
      <c r="W71" s="215">
        <v>416.10738255033556</v>
      </c>
      <c r="X71" s="212">
        <v>327.78523489932883</v>
      </c>
      <c r="Y71" s="216"/>
      <c r="Z71" s="212"/>
      <c r="AA71" s="212">
        <v>327.26174496644296</v>
      </c>
      <c r="AB71" s="217">
        <v>392.75167785234896</v>
      </c>
      <c r="AC71" s="215">
        <v>424.56375838926175</v>
      </c>
      <c r="AD71" s="212">
        <v>444.69798657718121</v>
      </c>
      <c r="AE71" s="216"/>
      <c r="AF71" s="212"/>
      <c r="AG71" s="212">
        <v>515.70469798657712</v>
      </c>
      <c r="AH71" s="217">
        <v>580</v>
      </c>
      <c r="AI71" s="215">
        <v>633.02013422818789</v>
      </c>
      <c r="AJ71" s="212">
        <v>631.00671140939596</v>
      </c>
      <c r="AK71" s="216"/>
      <c r="AL71" s="212"/>
      <c r="AM71" s="212">
        <v>696.77852348993292</v>
      </c>
      <c r="AN71" s="217">
        <v>701.07382550335569</v>
      </c>
      <c r="AO71" s="215">
        <v>645.50335570469792</v>
      </c>
      <c r="AP71" s="212">
        <v>600</v>
      </c>
      <c r="AQ71" s="216"/>
      <c r="AR71" s="212"/>
      <c r="AS71" s="212">
        <v>610.73825503355704</v>
      </c>
      <c r="AT71" s="217">
        <v>628.85906040268458</v>
      </c>
      <c r="AU71" s="215">
        <v>661.87919463087246</v>
      </c>
      <c r="AV71" s="212">
        <v>583.35570469798654</v>
      </c>
      <c r="AW71" s="216"/>
      <c r="AX71" s="212"/>
      <c r="AY71" s="212">
        <v>643.62416107382546</v>
      </c>
      <c r="AZ71" s="217">
        <v>646.97986577181211</v>
      </c>
      <c r="BA71" s="215">
        <v>657.85234899328862</v>
      </c>
      <c r="BB71" s="212">
        <v>611.67785234899327</v>
      </c>
      <c r="BC71" s="216"/>
      <c r="BD71" s="212"/>
      <c r="BE71" s="215">
        <v>565.77181208053685</v>
      </c>
      <c r="BF71" s="217">
        <v>566.84563758389265</v>
      </c>
      <c r="BG71" s="215">
        <v>596.91275167785238</v>
      </c>
      <c r="BH71" s="212">
        <v>491.40939597315435</v>
      </c>
      <c r="BI71" s="216"/>
      <c r="BJ71" s="212"/>
      <c r="BK71" s="215">
        <v>505.23489932885906</v>
      </c>
      <c r="BL71" s="217">
        <v>463.48993288590606</v>
      </c>
      <c r="BM71" s="215">
        <v>437.58389261744964</v>
      </c>
      <c r="BN71" s="212">
        <v>381.3</v>
      </c>
      <c r="BO71" s="216"/>
      <c r="BP71" s="212"/>
      <c r="BQ71" s="215">
        <v>393.7</v>
      </c>
      <c r="BR71" s="217">
        <v>404.1</v>
      </c>
      <c r="BS71" s="215"/>
      <c r="BT71" s="212"/>
      <c r="BU71" s="216"/>
      <c r="BV71" s="212"/>
      <c r="BW71" s="212"/>
      <c r="BX71" s="212"/>
      <c r="BY71" s="212"/>
      <c r="BZ71" s="212"/>
      <c r="CA71" s="212"/>
      <c r="CB71" s="212"/>
    </row>
    <row r="72" spans="1:216">
      <c r="A72" s="2" t="s">
        <v>150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129"/>
      <c r="H72" s="31"/>
      <c r="I72" s="31">
        <v>344.69798657718121</v>
      </c>
      <c r="J72" s="203">
        <v>323.08724832214762</v>
      </c>
      <c r="K72" s="203">
        <v>310.60402684563758</v>
      </c>
      <c r="L72" s="202">
        <v>314.36241610738256</v>
      </c>
      <c r="M72" s="214"/>
      <c r="N72" s="31"/>
      <c r="O72" s="31">
        <v>322.14765100671138</v>
      </c>
      <c r="P72" s="203">
        <v>329.79865771812081</v>
      </c>
      <c r="Q72" s="203">
        <v>342.68456375838923</v>
      </c>
      <c r="R72" s="202">
        <v>337.04697986577179</v>
      </c>
      <c r="S72" s="214"/>
      <c r="T72" s="31"/>
      <c r="U72" s="31">
        <v>358.52348993288592</v>
      </c>
      <c r="V72" s="203">
        <v>382.55033557046977</v>
      </c>
      <c r="W72" s="203">
        <v>390.06711409395973</v>
      </c>
      <c r="X72" s="202">
        <v>379.73154362416108</v>
      </c>
      <c r="Y72" s="214"/>
      <c r="Z72" s="31"/>
      <c r="AA72" s="31">
        <v>381.47651006711408</v>
      </c>
      <c r="AB72" s="205">
        <v>358.52348993288592</v>
      </c>
      <c r="AC72" s="203">
        <v>339.32885906040269</v>
      </c>
      <c r="AD72" s="202">
        <v>346.30872483221475</v>
      </c>
      <c r="AE72" s="214"/>
      <c r="AF72" s="31"/>
      <c r="AG72" s="31">
        <v>376.51006711409394</v>
      </c>
      <c r="AH72" s="205">
        <v>399.73154362416108</v>
      </c>
      <c r="AI72" s="203">
        <v>383.75838926174498</v>
      </c>
      <c r="AJ72" s="202">
        <v>388.99328859060404</v>
      </c>
      <c r="AK72" s="214"/>
      <c r="AL72" s="31"/>
      <c r="AM72" s="31">
        <v>400.67114093959731</v>
      </c>
      <c r="AN72" s="205">
        <v>403.75838926174498</v>
      </c>
      <c r="AO72" s="203">
        <v>427.78523489932883</v>
      </c>
      <c r="AP72" s="202">
        <v>433.82550335570471</v>
      </c>
      <c r="AQ72" s="214"/>
      <c r="AR72" s="31"/>
      <c r="AS72" s="31">
        <v>444.83221476510067</v>
      </c>
      <c r="AT72" s="205">
        <v>448.99328859060404</v>
      </c>
      <c r="AU72" s="203">
        <v>438.12080536912748</v>
      </c>
      <c r="AV72" s="202">
        <v>412.48322147651004</v>
      </c>
      <c r="AW72" s="214"/>
      <c r="AX72" s="31"/>
      <c r="AY72" s="31">
        <v>452.88590604026842</v>
      </c>
      <c r="AZ72" s="205">
        <v>456.24161073825502</v>
      </c>
      <c r="BA72" s="203">
        <v>432.48322147651004</v>
      </c>
      <c r="BB72" s="202">
        <v>412.6174496644295</v>
      </c>
      <c r="BC72" s="214"/>
      <c r="BD72" s="31"/>
      <c r="BE72" s="126">
        <v>436.37583892617448</v>
      </c>
      <c r="BF72" s="205">
        <v>446.30872483221475</v>
      </c>
      <c r="BG72" s="203">
        <v>461.61073825503354</v>
      </c>
      <c r="BH72" s="202">
        <v>440.67114093959731</v>
      </c>
      <c r="BI72" s="214"/>
      <c r="BJ72" s="31"/>
      <c r="BK72" s="126">
        <v>500.80536912751677</v>
      </c>
      <c r="BL72" s="205">
        <v>515.16778523489927</v>
      </c>
      <c r="BM72" s="203">
        <v>513.69127516778519</v>
      </c>
      <c r="BN72" s="202">
        <v>501.6</v>
      </c>
      <c r="BO72" s="214"/>
      <c r="BP72" s="31"/>
      <c r="BQ72" s="126">
        <v>541.6</v>
      </c>
      <c r="BR72" s="205">
        <v>545.4</v>
      </c>
      <c r="BS72" s="203"/>
      <c r="BT72" s="202"/>
      <c r="BU72" s="214"/>
      <c r="BV72" s="31"/>
      <c r="BW72" s="31"/>
      <c r="BX72" s="31"/>
      <c r="BY72" s="31"/>
      <c r="BZ72" s="31"/>
      <c r="CA72" s="31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129"/>
      <c r="H73" s="31"/>
      <c r="I73" s="31">
        <v>0</v>
      </c>
      <c r="J73" s="31">
        <v>0</v>
      </c>
      <c r="K73" s="202">
        <v>0</v>
      </c>
      <c r="L73" s="202">
        <v>0</v>
      </c>
      <c r="M73" s="214"/>
      <c r="N73" s="31"/>
      <c r="O73" s="31">
        <v>0</v>
      </c>
      <c r="P73" s="31">
        <v>0</v>
      </c>
      <c r="Q73" s="202">
        <v>0</v>
      </c>
      <c r="R73" s="202">
        <v>0</v>
      </c>
      <c r="S73" s="214"/>
      <c r="T73" s="31"/>
      <c r="U73" s="31">
        <v>0</v>
      </c>
      <c r="V73" s="31">
        <v>0</v>
      </c>
      <c r="W73" s="202">
        <v>0</v>
      </c>
      <c r="X73" s="202">
        <v>0</v>
      </c>
      <c r="Y73" s="214"/>
      <c r="Z73" s="31"/>
      <c r="AA73" s="31">
        <v>0</v>
      </c>
      <c r="AB73" s="197">
        <v>0</v>
      </c>
      <c r="AC73" s="202">
        <v>0</v>
      </c>
      <c r="AD73" s="202">
        <v>0</v>
      </c>
      <c r="AE73" s="214"/>
      <c r="AF73" s="31"/>
      <c r="AG73" s="31">
        <v>0</v>
      </c>
      <c r="AH73" s="197">
        <v>0</v>
      </c>
      <c r="AI73" s="202">
        <v>0</v>
      </c>
      <c r="AJ73" s="202">
        <v>0</v>
      </c>
      <c r="AK73" s="214"/>
      <c r="AL73" s="31"/>
      <c r="AM73" s="31">
        <v>0</v>
      </c>
      <c r="AN73" s="197">
        <v>0</v>
      </c>
      <c r="AO73" s="202">
        <v>0</v>
      </c>
      <c r="AP73" s="202">
        <v>0</v>
      </c>
      <c r="AQ73" s="214"/>
      <c r="AR73" s="31"/>
      <c r="AS73" s="31">
        <v>0</v>
      </c>
      <c r="AT73" s="197">
        <v>0</v>
      </c>
      <c r="AU73" s="202">
        <v>0</v>
      </c>
      <c r="AV73" s="202">
        <v>0</v>
      </c>
      <c r="AW73" s="214"/>
      <c r="AX73" s="31"/>
      <c r="AY73" s="31"/>
      <c r="AZ73" s="197"/>
      <c r="BA73" s="202"/>
      <c r="BB73" s="202"/>
      <c r="BC73" s="214"/>
      <c r="BD73" s="31"/>
      <c r="BE73" s="126"/>
      <c r="BF73" s="197"/>
      <c r="BG73" s="202"/>
      <c r="BH73" s="202"/>
      <c r="BI73" s="214"/>
      <c r="BJ73" s="31"/>
      <c r="BK73" s="126"/>
      <c r="BL73" s="197"/>
      <c r="BM73" s="202"/>
      <c r="BN73" s="202"/>
      <c r="BO73" s="214"/>
      <c r="BP73" s="31"/>
      <c r="BQ73" s="126"/>
      <c r="BR73" s="197"/>
      <c r="BS73" s="202"/>
      <c r="BT73" s="202"/>
      <c r="BU73" s="214"/>
      <c r="BV73" s="31"/>
      <c r="BW73" s="31"/>
      <c r="BX73" s="31"/>
      <c r="BY73" s="31"/>
      <c r="BZ73" s="31"/>
      <c r="CA73" s="31"/>
      <c r="CB73" s="31"/>
    </row>
    <row r="74" spans="1:216">
      <c r="A74" s="2" t="s">
        <v>119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129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129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129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129"/>
      <c r="Z74" s="31"/>
      <c r="AA74" s="126">
        <v>44.563758389261743</v>
      </c>
      <c r="AB74" s="126">
        <v>49.261744966442954</v>
      </c>
      <c r="AC74" s="126">
        <v>57.583892617449663</v>
      </c>
      <c r="AD74" s="31">
        <v>59.194630872483224</v>
      </c>
      <c r="AE74" s="129"/>
      <c r="AF74" s="31"/>
      <c r="AG74" s="126">
        <v>60.805369127516776</v>
      </c>
      <c r="AH74" s="126">
        <v>52.483221476510067</v>
      </c>
      <c r="AI74" s="126">
        <v>56.375838926174495</v>
      </c>
      <c r="AJ74" s="31">
        <v>59.328859060402685</v>
      </c>
      <c r="AK74" s="129"/>
      <c r="AL74" s="31"/>
      <c r="AM74" s="126">
        <v>62.550335570469798</v>
      </c>
      <c r="AN74" s="126">
        <v>64.56375838926175</v>
      </c>
      <c r="AO74" s="126">
        <v>75.43624161073825</v>
      </c>
      <c r="AP74" s="31">
        <v>77.449664429530202</v>
      </c>
      <c r="AQ74" s="129"/>
      <c r="AR74" s="31"/>
      <c r="AS74" s="126">
        <v>77.449664429530202</v>
      </c>
      <c r="AT74" s="126">
        <v>0</v>
      </c>
      <c r="AU74" s="126">
        <v>0</v>
      </c>
      <c r="AV74" s="31">
        <v>0</v>
      </c>
      <c r="AW74" s="129"/>
      <c r="AX74" s="31"/>
      <c r="AY74" s="126"/>
      <c r="AZ74" s="126"/>
      <c r="BA74" s="126"/>
      <c r="BB74" s="31"/>
      <c r="BC74" s="129"/>
      <c r="BD74" s="31"/>
      <c r="BE74" s="126"/>
      <c r="BF74" s="126"/>
      <c r="BG74" s="126"/>
      <c r="BH74" s="31"/>
      <c r="BI74" s="129"/>
      <c r="BJ74" s="31"/>
      <c r="BK74" s="126"/>
      <c r="BL74" s="126"/>
      <c r="BM74" s="126"/>
      <c r="BN74" s="31"/>
      <c r="BO74" s="129"/>
      <c r="BP74" s="31"/>
      <c r="BQ74" s="126"/>
      <c r="BR74" s="126"/>
      <c r="BS74" s="126"/>
      <c r="BT74" s="31"/>
      <c r="BU74" s="129"/>
      <c r="BV74" s="31"/>
      <c r="BW74" s="31"/>
      <c r="BX74" s="31"/>
      <c r="BY74" s="31"/>
      <c r="BZ74" s="31"/>
      <c r="CA74" s="31"/>
      <c r="CB74" s="31"/>
    </row>
    <row r="75" spans="1:216">
      <c r="A75" s="2" t="s">
        <v>99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129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129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129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129"/>
      <c r="Z75" s="31"/>
      <c r="AA75" s="126">
        <v>16.322147651006709</v>
      </c>
      <c r="AB75" s="197">
        <v>17.718120805369129</v>
      </c>
      <c r="AC75" s="126">
        <v>16.644295302013422</v>
      </c>
      <c r="AD75" s="31">
        <v>16.375838926174495</v>
      </c>
      <c r="AE75" s="129"/>
      <c r="AF75" s="31"/>
      <c r="AG75" s="126">
        <v>19.597315436241612</v>
      </c>
      <c r="AH75" s="197">
        <v>22.14765100671141</v>
      </c>
      <c r="AI75" s="126">
        <v>21.879194630872483</v>
      </c>
      <c r="AJ75" s="31">
        <v>23.087248322147651</v>
      </c>
      <c r="AK75" s="129"/>
      <c r="AL75" s="31"/>
      <c r="AM75" s="126">
        <v>22.953020134228186</v>
      </c>
      <c r="AN75" s="197">
        <v>24.832214765100669</v>
      </c>
      <c r="AO75" s="126">
        <v>24.697986577181208</v>
      </c>
      <c r="AP75" s="31">
        <v>24.563758389261743</v>
      </c>
      <c r="AQ75" s="129"/>
      <c r="AR75" s="31"/>
      <c r="AS75" s="126">
        <v>24.832214765100669</v>
      </c>
      <c r="AT75" s="197">
        <v>25.369127516778523</v>
      </c>
      <c r="AU75" s="126">
        <v>25.771812080536911</v>
      </c>
      <c r="AV75" s="31">
        <v>28.187919463087248</v>
      </c>
      <c r="AW75" s="129"/>
      <c r="AX75" s="31"/>
      <c r="AY75" s="126">
        <v>27.382550335570468</v>
      </c>
      <c r="AZ75" s="197">
        <v>30.067114093959731</v>
      </c>
      <c r="BA75" s="126">
        <v>28.322147651006709</v>
      </c>
      <c r="BB75" s="31">
        <v>26.845637583892618</v>
      </c>
      <c r="BC75" s="129"/>
      <c r="BD75" s="31"/>
      <c r="BE75" s="126">
        <v>27.114093959731544</v>
      </c>
      <c r="BF75" s="197">
        <v>27.248322147651006</v>
      </c>
      <c r="BG75" s="126">
        <v>27.919463087248321</v>
      </c>
      <c r="BH75" s="31">
        <v>26.979865771812079</v>
      </c>
      <c r="BI75" s="129"/>
      <c r="BJ75" s="31"/>
      <c r="BK75" s="126">
        <v>25.771812080536911</v>
      </c>
      <c r="BL75" s="197">
        <v>22.281879194630871</v>
      </c>
      <c r="BM75" s="126">
        <v>20.939597315436242</v>
      </c>
      <c r="BN75" s="31">
        <v>19.2</v>
      </c>
      <c r="BO75" s="129"/>
      <c r="BP75" s="31"/>
      <c r="BQ75" s="126">
        <v>43</v>
      </c>
      <c r="BR75" s="197">
        <v>44.6</v>
      </c>
      <c r="BS75" s="126"/>
      <c r="BT75" s="31"/>
      <c r="BU75" s="129"/>
      <c r="BV75" s="31"/>
      <c r="BW75" s="31"/>
      <c r="BX75" s="31"/>
      <c r="BY75" s="31"/>
      <c r="BZ75" s="31"/>
      <c r="CA75" s="31"/>
      <c r="CB75" s="31"/>
    </row>
    <row r="76" spans="1:216" hidden="1">
      <c r="A76" s="2" t="s">
        <v>35</v>
      </c>
      <c r="C76" s="31">
        <v>0</v>
      </c>
      <c r="D76" s="31">
        <v>0</v>
      </c>
      <c r="E76" s="31">
        <v>0</v>
      </c>
      <c r="F76" s="31">
        <v>0</v>
      </c>
      <c r="G76" s="129"/>
      <c r="H76" s="31"/>
      <c r="I76" s="31">
        <v>0</v>
      </c>
      <c r="J76" s="31">
        <v>0</v>
      </c>
      <c r="K76" s="31">
        <v>0</v>
      </c>
      <c r="L76" s="31">
        <v>0</v>
      </c>
      <c r="M76" s="129"/>
      <c r="N76" s="31"/>
      <c r="O76" s="31">
        <v>0</v>
      </c>
      <c r="P76" s="31">
        <v>0</v>
      </c>
      <c r="Q76" s="31">
        <v>0</v>
      </c>
      <c r="R76" s="31">
        <v>0</v>
      </c>
      <c r="S76" s="129"/>
      <c r="T76" s="31"/>
      <c r="U76" s="31">
        <v>0</v>
      </c>
      <c r="V76" s="31">
        <v>0</v>
      </c>
      <c r="W76" s="31">
        <v>0</v>
      </c>
      <c r="X76" s="31">
        <v>0</v>
      </c>
      <c r="Y76" s="129"/>
      <c r="Z76" s="31"/>
      <c r="AA76" s="126">
        <v>0</v>
      </c>
      <c r="AB76" s="197">
        <v>0</v>
      </c>
      <c r="AC76" s="31">
        <v>0</v>
      </c>
      <c r="AD76" s="31">
        <v>0</v>
      </c>
      <c r="AE76" s="129"/>
      <c r="AF76" s="31"/>
      <c r="AG76" s="126">
        <v>0</v>
      </c>
      <c r="AH76" s="197">
        <v>0</v>
      </c>
      <c r="AI76" s="31">
        <v>0</v>
      </c>
      <c r="AJ76" s="31">
        <v>0</v>
      </c>
      <c r="AK76" s="129"/>
      <c r="AL76" s="31"/>
      <c r="AM76" s="126">
        <v>0</v>
      </c>
      <c r="AN76" s="197">
        <v>0</v>
      </c>
      <c r="AO76" s="31">
        <v>0</v>
      </c>
      <c r="AP76" s="31">
        <v>0</v>
      </c>
      <c r="AQ76" s="129"/>
      <c r="AR76" s="31"/>
      <c r="AS76" s="126">
        <v>0</v>
      </c>
      <c r="AT76" s="197">
        <v>0</v>
      </c>
      <c r="AU76" s="31">
        <v>0</v>
      </c>
      <c r="AV76" s="31">
        <v>0</v>
      </c>
      <c r="AW76" s="129"/>
      <c r="AX76" s="31"/>
      <c r="AY76" s="126">
        <v>0</v>
      </c>
      <c r="AZ76" s="197">
        <v>0</v>
      </c>
      <c r="BA76" s="31">
        <v>0</v>
      </c>
      <c r="BB76" s="31">
        <v>0</v>
      </c>
      <c r="BC76" s="129"/>
      <c r="BD76" s="31"/>
      <c r="BE76" s="126">
        <v>0</v>
      </c>
      <c r="BF76" s="197">
        <v>0</v>
      </c>
      <c r="BG76" s="31">
        <v>0</v>
      </c>
      <c r="BH76" s="31">
        <v>0</v>
      </c>
      <c r="BI76" s="129"/>
      <c r="BJ76" s="31"/>
      <c r="BK76" s="126">
        <v>0</v>
      </c>
      <c r="BL76" s="197">
        <v>0</v>
      </c>
      <c r="BM76" s="31">
        <v>0</v>
      </c>
      <c r="BN76" s="31"/>
      <c r="BO76" s="129"/>
      <c r="BP76" s="31"/>
      <c r="BQ76" s="126">
        <v>0</v>
      </c>
      <c r="BR76" s="197"/>
      <c r="BS76" s="31"/>
      <c r="BT76" s="31"/>
      <c r="BU76" s="129"/>
      <c r="BV76" s="31"/>
      <c r="BW76" s="31"/>
      <c r="BX76" s="31"/>
      <c r="BY76" s="31"/>
      <c r="BZ76" s="31"/>
      <c r="CA76" s="31"/>
      <c r="CB76" s="31"/>
    </row>
    <row r="77" spans="1:216">
      <c r="A77" s="2" t="s">
        <v>32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129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129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129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129"/>
      <c r="Z77" s="31"/>
      <c r="AA77" s="126">
        <v>4.2953020134228188</v>
      </c>
      <c r="AB77" s="197">
        <v>4.4295302013422821</v>
      </c>
      <c r="AC77" s="31">
        <v>2.1476510067114094</v>
      </c>
      <c r="AD77" s="31">
        <v>1.2080536912751678</v>
      </c>
      <c r="AE77" s="129"/>
      <c r="AF77" s="31"/>
      <c r="AG77" s="126">
        <v>-2.6845637583892619</v>
      </c>
      <c r="AH77" s="197">
        <v>-1.6107382550335569</v>
      </c>
      <c r="AI77" s="31">
        <v>-2.0134228187919461</v>
      </c>
      <c r="AJ77" s="31">
        <v>0.67114093959731547</v>
      </c>
      <c r="AK77" s="129"/>
      <c r="AL77" s="31"/>
      <c r="AM77" s="126">
        <v>0.13422818791946309</v>
      </c>
      <c r="AN77" s="197">
        <v>4.1610738255033555</v>
      </c>
      <c r="AO77" s="31">
        <v>4.6979865771812079</v>
      </c>
      <c r="AP77" s="31">
        <v>4.5637583892617446</v>
      </c>
      <c r="AQ77" s="129"/>
      <c r="AR77" s="31"/>
      <c r="AS77" s="126">
        <v>4.6979865771812079</v>
      </c>
      <c r="AT77" s="197">
        <v>4.1610738255033555</v>
      </c>
      <c r="AU77" s="31">
        <v>2.8187919463087248</v>
      </c>
      <c r="AV77" s="31">
        <v>2.2818791946308723</v>
      </c>
      <c r="AW77" s="129"/>
      <c r="AX77" s="31"/>
      <c r="AY77" s="126">
        <v>-2.4161073825503356</v>
      </c>
      <c r="AZ77" s="197">
        <v>0.80536912751677847</v>
      </c>
      <c r="BA77" s="31">
        <v>4.9664429530201337</v>
      </c>
      <c r="BB77" s="31">
        <v>-6.174496644295302</v>
      </c>
      <c r="BC77" s="129"/>
      <c r="BD77" s="31"/>
      <c r="BE77" s="126">
        <v>-8.4563758389261743</v>
      </c>
      <c r="BF77" s="197">
        <v>-6.9798657718120802</v>
      </c>
      <c r="BG77" s="31">
        <v>-7.5167785234899327</v>
      </c>
      <c r="BH77" s="31">
        <v>-4.6979865771812079</v>
      </c>
      <c r="BI77" s="129"/>
      <c r="BJ77" s="31"/>
      <c r="BK77" s="126">
        <v>-6.5771812080536911</v>
      </c>
      <c r="BL77" s="197">
        <v>-4.5637583892617446</v>
      </c>
      <c r="BM77" s="31">
        <v>-4.9664429530201337</v>
      </c>
      <c r="BN77" s="31">
        <v>-3.7</v>
      </c>
      <c r="BO77" s="129"/>
      <c r="BP77" s="31"/>
      <c r="BQ77" s="126">
        <v>-3.4</v>
      </c>
      <c r="BR77" s="197">
        <v>-4.2</v>
      </c>
      <c r="BS77" s="31"/>
      <c r="BT77" s="31"/>
      <c r="BU77" s="129"/>
      <c r="BV77" s="31"/>
      <c r="BW77" s="31"/>
      <c r="BX77" s="31"/>
      <c r="BY77" s="31"/>
      <c r="BZ77" s="31"/>
      <c r="CA77" s="31"/>
      <c r="CB77" s="31"/>
    </row>
    <row r="78" spans="1:216" s="85" customFormat="1" ht="18.75" customHeight="1">
      <c r="C78" s="198">
        <f>SUM(C70:C77)</f>
        <v>421.744966442953</v>
      </c>
      <c r="D78" s="198">
        <f>SUM(D70:D77)</f>
        <v>446.44295302013427</v>
      </c>
      <c r="E78" s="198">
        <f>SUM(E70:E77)</f>
        <v>469.6644295302014</v>
      </c>
      <c r="F78" s="198">
        <f>SUM(F70:F77)</f>
        <v>469.66442953020135</v>
      </c>
      <c r="G78" s="199"/>
      <c r="H78" s="198"/>
      <c r="I78" s="198">
        <f>SUM(I70:I77)</f>
        <v>530.33557046979854</v>
      </c>
      <c r="J78" s="198">
        <f>SUM(J70:J77)</f>
        <v>512.48322147651004</v>
      </c>
      <c r="K78" s="198">
        <f>SUM(K70:K77)</f>
        <v>516.1073825503355</v>
      </c>
      <c r="L78" s="198">
        <f>SUM(L70:L77)</f>
        <v>513.95973154362412</v>
      </c>
      <c r="M78" s="199"/>
      <c r="N78" s="198"/>
      <c r="O78" s="198">
        <f>SUM(O70:O77)</f>
        <v>656.91275167785216</v>
      </c>
      <c r="P78" s="198">
        <f>SUM(P70:P77)</f>
        <v>696.77852348993281</v>
      </c>
      <c r="Q78" s="198">
        <f>SUM(Q70:Q77)</f>
        <v>710.73825503355704</v>
      </c>
      <c r="R78" s="198">
        <f>SUM(R70:R77)</f>
        <v>671.81208053691262</v>
      </c>
      <c r="S78" s="199"/>
      <c r="T78" s="198"/>
      <c r="U78" s="198">
        <f>SUM(U70:U77)</f>
        <v>750.46979865771812</v>
      </c>
      <c r="V78" s="198">
        <f>SUM(V70:V77)</f>
        <v>835.16778523489927</v>
      </c>
      <c r="W78" s="198">
        <f>SUM(W70:W77)</f>
        <v>867.78523489932877</v>
      </c>
      <c r="X78" s="198">
        <f>SUM(X70:X77)</f>
        <v>768.45637583892608</v>
      </c>
      <c r="Y78" s="199"/>
      <c r="Z78" s="198"/>
      <c r="AA78" s="198">
        <f>SUM(AA70:AA77)</f>
        <v>773.91946308724823</v>
      </c>
      <c r="AB78" s="218">
        <f>SUM(AB70:AB77)</f>
        <v>822.68456375838923</v>
      </c>
      <c r="AC78" s="198">
        <f>SUM(AC70:AC77)</f>
        <v>840.26845637583892</v>
      </c>
      <c r="AD78" s="198">
        <f>SUM(AD70:AD77)</f>
        <v>867.78523489932888</v>
      </c>
      <c r="AE78" s="199"/>
      <c r="AF78" s="198"/>
      <c r="AG78" s="198">
        <f>SUM(AG70:AG77)</f>
        <v>969.93288590604016</v>
      </c>
      <c r="AH78" s="218">
        <f>SUM(AH70:AH77)</f>
        <v>1052.7516778523491</v>
      </c>
      <c r="AI78" s="198">
        <f>SUM(AI70:AI77)</f>
        <v>1093.020134228188</v>
      </c>
      <c r="AJ78" s="198">
        <f>SUM(AJ70:AJ77)</f>
        <v>1103.0872483221476</v>
      </c>
      <c r="AK78" s="199"/>
      <c r="AL78" s="198"/>
      <c r="AM78" s="198">
        <f>SUM(AM70:AM77)</f>
        <v>1183.0872483221476</v>
      </c>
      <c r="AN78" s="218">
        <f>SUM(AN70:AN77)</f>
        <v>1198.3892617449662</v>
      </c>
      <c r="AO78" s="198">
        <f>SUM(AO70:AO77)</f>
        <v>1178.1208053691273</v>
      </c>
      <c r="AP78" s="198">
        <f>SUM(AP70:AP77)</f>
        <v>1140.4026845637584</v>
      </c>
      <c r="AQ78" s="199"/>
      <c r="AR78" s="198"/>
      <c r="AS78" s="198">
        <f>SUM(AS70:AS77)</f>
        <v>1162.5503355704698</v>
      </c>
      <c r="AT78" s="218">
        <f>SUM(AT70:AT77)</f>
        <v>1107.3825503355704</v>
      </c>
      <c r="AU78" s="198">
        <f>SUM(AU70:AU77)</f>
        <v>1128.5906040268455</v>
      </c>
      <c r="AV78" s="198">
        <f>SUM(AV70:AV77)</f>
        <v>1026.3087248322147</v>
      </c>
      <c r="AW78" s="199"/>
      <c r="AX78" s="198"/>
      <c r="AY78" s="198">
        <f>SUM(AY70:AY77)</f>
        <v>1121.4765100671141</v>
      </c>
      <c r="AZ78" s="198">
        <f>SUM(AZ70:AZ77)</f>
        <v>1134.0939597315437</v>
      </c>
      <c r="BA78" s="198">
        <f>SUM(BA70:BA77)</f>
        <v>1123.6241610738255</v>
      </c>
      <c r="BB78" s="198">
        <f>SUM(BB70:BB77)</f>
        <v>1044.9664429530201</v>
      </c>
      <c r="BC78" s="199"/>
      <c r="BD78" s="198"/>
      <c r="BE78" s="219">
        <f>SUM(BE70:BE77)</f>
        <v>1020.8053691275167</v>
      </c>
      <c r="BF78" s="219">
        <f>SUM(BF70:BF77)</f>
        <v>1033.4228187919464</v>
      </c>
      <c r="BG78" s="219">
        <f>SUM(BG70:BG77)</f>
        <v>1078.9261744966443</v>
      </c>
      <c r="BH78" s="219">
        <f>SUM(BH70:BH77)</f>
        <v>954.36241610738261</v>
      </c>
      <c r="BI78" s="199"/>
      <c r="BJ78" s="198"/>
      <c r="BK78" s="219">
        <f>SUM(BK70:BK77)</f>
        <v>1025.234899328859</v>
      </c>
      <c r="BL78" s="219">
        <f>SUM(BL70:BL77)</f>
        <v>996.37583892617454</v>
      </c>
      <c r="BM78" s="219">
        <f>SUM(BM70:BM77)</f>
        <v>967.24832214765092</v>
      </c>
      <c r="BN78" s="219">
        <f>SUM(BN70:BN77)</f>
        <v>898.40000000000009</v>
      </c>
      <c r="BO78" s="199"/>
      <c r="BP78" s="198"/>
      <c r="BQ78" s="219">
        <f>SUM(BQ70:BQ77)</f>
        <v>974.9</v>
      </c>
      <c r="BR78" s="219">
        <f>SUM(BR70:BR77)</f>
        <v>989.9</v>
      </c>
      <c r="BS78" s="219"/>
      <c r="BT78" s="219"/>
      <c r="BU78" s="199"/>
      <c r="BV78" s="198"/>
      <c r="BW78" s="198"/>
      <c r="BX78" s="198"/>
      <c r="BY78" s="198"/>
      <c r="BZ78" s="198"/>
      <c r="CA78" s="198"/>
      <c r="CB78" s="198"/>
    </row>
    <row r="79" spans="1:216" s="92" customFormat="1" ht="18.75" customHeight="1">
      <c r="A79" s="92" t="s">
        <v>68</v>
      </c>
      <c r="C79" s="99"/>
      <c r="D79" s="99"/>
      <c r="E79" s="99"/>
      <c r="F79" s="99">
        <v>0.14695099596724917</v>
      </c>
      <c r="G79" s="100"/>
      <c r="I79" s="99">
        <f>(D68+E68+F68+I68+Valuation!H19+Valuation!H20)/AVERAGE(C78:I78)</f>
        <v>0.15243727392777176</v>
      </c>
      <c r="J79" s="99">
        <f>(E68+F68+I68+J68+Valuation!I19+Valuation!I20)/AVERAGE(D78:J78)</f>
        <v>0.165809981760902</v>
      </c>
      <c r="K79" s="99">
        <f>(F68+I68+J68+K68+Valuation!J19+Valuation!J20)/AVERAGE(E78:K78)</f>
        <v>0.17703632065334191</v>
      </c>
      <c r="L79" s="99">
        <f>(M68+Valuation!K19+Valuation!K20)/(AVERAGE(F78:L78))</f>
        <v>0.18741421180445578</v>
      </c>
      <c r="M79" s="100"/>
      <c r="O79" s="99">
        <f>(J68+K68+L68+O68+Valuation!M19+Valuation!M20)/AVERAGE(I78:O78)</f>
        <v>0.19103112553473967</v>
      </c>
      <c r="P79" s="99">
        <f>(K68+L68+O68+P68+Valuation!N19+Valuation!N20)/AVERAGE(J78:P78)</f>
        <v>0.20670158038652273</v>
      </c>
      <c r="Q79" s="99">
        <f>(L68+O68+P68+Q68+Valuation!O19+Valuation!O20)/AVERAGE(K78:Q78)</f>
        <v>0.20343541250975974</v>
      </c>
      <c r="R79" s="99">
        <f>(S68+Valuation!P19+Valuation!P20)/(AVERAGE(L78:R78))</f>
        <v>0.21950111505740483</v>
      </c>
      <c r="S79" s="100"/>
      <c r="U79" s="99">
        <f>(P68+Q68+R68+U68+Valuation!R19+Valuation!R20)/AVERAGE(O78:U78)</f>
        <v>0.21134893748075151</v>
      </c>
      <c r="V79" s="99">
        <f>(Q68+R68+U68+V68+Valuation!S19+Valuation!S20)/AVERAGE(P78:V78)</f>
        <v>0.20949311456196901</v>
      </c>
      <c r="W79" s="99">
        <f>(R68+U68+V68+W68-70/7.45+31/7.45)/AVERAGE(Q78:W78)</f>
        <v>0.20435299881027369</v>
      </c>
      <c r="X79" s="99">
        <f>(Y68+135/7.45)/(AVERAGE(R78:X78))</f>
        <v>0.16426503033645892</v>
      </c>
      <c r="Y79" s="100"/>
      <c r="AA79" s="101">
        <f>(V68+W68+X68+AA68+155/7.45)/AVERAGE(U78:AA78)</f>
        <v>0.13151397272974635</v>
      </c>
      <c r="AB79" s="99">
        <f>(W68+X68+AA68+AB68+155/7.45+57/7.45)/AVERAGE(V78:AB78)</f>
        <v>0.10047283273995518</v>
      </c>
      <c r="AC79" s="99">
        <f>(X68+AA68+AB68+AC68+219/7.45)/AVERAGE(W78:AC78)</f>
        <v>8.33753505554512E-2</v>
      </c>
      <c r="AD79" s="99">
        <f>(AE68+152/7.45)/(AVERAGE(X78:AD78))</f>
        <v>9.3591302599795034E-2</v>
      </c>
      <c r="AE79" s="100"/>
      <c r="AG79" s="101">
        <f>(AB68+AC68+AD68+AG68+155/7.45)/AVERAGE(AA78:AG78)</f>
        <v>0.10283962984013541</v>
      </c>
      <c r="AH79" s="101">
        <f>(AC68+AD68+AG68+AH68+121/7.45)/AVERAGE(AB78:AH78)</f>
        <v>9.3594316540400332E-2</v>
      </c>
      <c r="AI79" s="101">
        <f>(AD68+AG68+AH68+AI68+110/7.45)/AVERAGE(AC78:AI78)</f>
        <v>8.9183849514428051E-2</v>
      </c>
      <c r="AJ79" s="99">
        <f>(AK68+86/7.45)/(AVERAGE(AD78:AJ78))</f>
        <v>7.4680036944187886E-2</v>
      </c>
      <c r="AK79" s="100"/>
      <c r="AM79" s="101">
        <f>(AH68+AI68+AJ68+AM68+69/7.45)/AVERAGE(AG78:AM78)</f>
        <v>6.535135672398372E-2</v>
      </c>
      <c r="AN79" s="101">
        <f>(AI68+AJ68+AM68+AN68+54/7.45)/AVERAGE(AH78:AN78)</f>
        <v>5.3282792161350304E-2</v>
      </c>
      <c r="AO79" s="101">
        <f>(AJ68+AM68+AN68+AO68+31/7.45)/AVERAGE(AI78:AO78)</f>
        <v>5.3754664179104482E-2</v>
      </c>
      <c r="AP79" s="101">
        <f>(AQ68+33/7.45)/(AVERAGE(AJ78:AP78))</f>
        <v>5.528184488700761E-2</v>
      </c>
      <c r="AQ79" s="100"/>
      <c r="AS79" s="101">
        <f>(AN68+AO68+AP68+AS68+29/7.45)/AVERAGE(AM78:AS78)</f>
        <v>5.4950087004304426E-2</v>
      </c>
      <c r="AT79" s="101">
        <f>(AO68+AP68+AS68+AT68+31/7.45)/AVERAGE(AN78:AT78)</f>
        <v>5.6248840230098358E-2</v>
      </c>
      <c r="AU79" s="101">
        <f>(AP68+AS68+AT68+AU68+39/7.45)/AVERAGE(AO78:AU78)</f>
        <v>4.8131104432757324E-2</v>
      </c>
      <c r="AV79" s="101">
        <f>(AS68+AT68+AU68+AV68+37/7.45)/AVERAGE(AP78:AV78)</f>
        <v>6.1503581679168376E-2</v>
      </c>
      <c r="AW79" s="100"/>
      <c r="AY79" s="101">
        <f>(AT68+AU68+AV68+AY68+36/7.45)/AVERAGE(AS78:AY78)</f>
        <v>5.9777347531461765E-2</v>
      </c>
      <c r="AZ79" s="101">
        <f>(AU68+AV68+AY68+AZ68+27/7.45)/AVERAGE(AT78:AZ78)</f>
        <v>6.5072491972365476E-2</v>
      </c>
      <c r="BA79" s="101">
        <f>(AV68+AY68+AZ68+BA68+27/7.45)/AVERAGE(AU78:BA78)</f>
        <v>6.5245337020058719E-2</v>
      </c>
      <c r="BB79" s="101">
        <f>(AY68+AZ68+BA68+BB68+39/7.45)/AVERAGE(AV78:BB78)</f>
        <v>6.7354578141161386E-2</v>
      </c>
      <c r="BC79" s="100"/>
      <c r="BE79" s="101">
        <f>(AZ68+BA68+BB68+BE68-2.5/7.45)/AVERAGE(AY78:BE78)</f>
        <v>7.1305312461481585E-2</v>
      </c>
      <c r="BF79" s="101">
        <f>(BA68+BB68+BE68+BF68+25.1/7.45+74/7.45)/AVERAGE(AZ78:BF78)</f>
        <v>7.7313387957603549E-2</v>
      </c>
      <c r="BG79" s="101">
        <f>(BB68+BE68+BF68+BG68+222/7.45-96/7.45)/AVERAGE(BA78:BG78)</f>
        <v>8.0510405590156459E-2</v>
      </c>
      <c r="BH79" s="101">
        <f>(BE68+BF68+BG68+BH68+307/7.45-96/7.45)/AVERAGE(BB78:BH78)</f>
        <v>9.3626592044354959E-2</v>
      </c>
      <c r="BI79" s="100"/>
      <c r="BK79" s="101">
        <f>(BF68+BG68+BH68+BK68+289/7.45)/AVERAGE(BE78:BK78)</f>
        <v>9.7269624573378843E-2</v>
      </c>
      <c r="BL79" s="101">
        <f>(BG68+BH68+BK68+BL68+222/7.45+19/7.45+286/7.45)/AVERAGE(BF78:BL78)</f>
        <v>0.11224543631951039</v>
      </c>
      <c r="BM79" s="101">
        <f>(BH68+BK68+BL68+BM68+212/7.45+19/7.45+282/7.45)/AVERAGE(BG78:BM78)</f>
        <v>0.11238807964720032</v>
      </c>
      <c r="BN79" s="101">
        <v>0.10100000000000001</v>
      </c>
      <c r="BO79" s="100"/>
      <c r="BQ79" s="101">
        <f>(BL68+BM68+BN68+BQ68+61)/AVERAGE(BK78:BQ78)</f>
        <v>9.9696781762238104E-2</v>
      </c>
      <c r="BR79" s="101">
        <f>(BM68+BN68+BQ68+BR68+17.6)/AVERAGE(BL78:BR78)</f>
        <v>9.2696463610516602E-2</v>
      </c>
      <c r="BS79" s="101"/>
      <c r="BT79" s="101"/>
      <c r="BU79" s="100"/>
    </row>
    <row r="80" spans="1:216" s="5" customFormat="1" ht="18.75" customHeight="1">
      <c r="A80" s="5" t="s">
        <v>70</v>
      </c>
      <c r="C80" s="28"/>
      <c r="D80" s="28"/>
      <c r="E80" s="28"/>
      <c r="F80" s="28">
        <v>0.22574819401444787</v>
      </c>
      <c r="G80" s="95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95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95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95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95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95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95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95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95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95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95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/>
      <c r="BT80" s="29"/>
      <c r="BU80" s="95"/>
      <c r="HH80" s="27"/>
    </row>
    <row r="81" spans="1:216" s="5" customFormat="1" ht="18.75" customHeight="1" thickBot="1">
      <c r="A81" s="5" t="s">
        <v>151</v>
      </c>
      <c r="C81" s="28"/>
      <c r="D81" s="28"/>
      <c r="E81" s="28"/>
      <c r="F81" s="28">
        <v>0.14803516956755788</v>
      </c>
      <c r="G81" s="95"/>
      <c r="I81" s="28">
        <f>(D62+E62+F62+I62+Valuation!H19+Valuation!H20)/AVERAGE(C72:I72)</f>
        <v>0.14395229982964225</v>
      </c>
      <c r="J81" s="28">
        <f>(E62+F62+I62+J62+Valuation!I19+Valuation!I20)/AVERAGE(D72:J72)</f>
        <v>0.14823451032644905</v>
      </c>
      <c r="K81" s="28">
        <f>(F62+I62+J62+K62+Valuation!J19+Valuation!J20)/AVERAGE(E72:K72)</f>
        <v>0.15078507933870566</v>
      </c>
      <c r="L81" s="28">
        <f>(M62+Valuation!K20+Valuation!K19)/(AVERAGE(F72:L72))</f>
        <v>0.16604400166044003</v>
      </c>
      <c r="M81" s="95"/>
      <c r="O81" s="28">
        <f>(J62+K62+L62+O62+Valuation!M19+Valuation!M20)/AVERAGE(I72:O72)</f>
        <v>0.18078297730861939</v>
      </c>
      <c r="P81" s="28">
        <f>(K62+L62+O62+P62+Valuation!N19+Valuation!N20)/AVERAGE(J72:P72)</f>
        <v>0.18875838926174496</v>
      </c>
      <c r="Q81" s="28">
        <f>(L62+O62+P62+Q62+Valuation!O19+Valuation!O20)/AVERAGE(K72:Q72)</f>
        <v>0.18647439085032322</v>
      </c>
      <c r="R81" s="28">
        <f>S62/(AVERAGE(L72:R72))</f>
        <v>0.20141890238930113</v>
      </c>
      <c r="S81" s="95"/>
      <c r="U81" s="28">
        <f>(P62+Q62+R62+U62)/AVERAGE(O72:U72)</f>
        <v>0.19734752223634056</v>
      </c>
      <c r="V81" s="28">
        <f>(Q62+R62+U62+V62)/AVERAGE(P72:V72)</f>
        <v>0.19360527526453</v>
      </c>
      <c r="W81" s="28">
        <f>(R62+U62+V62+W62+31/7.45)/AVERAGE(Q72:W72)</f>
        <v>0.18716181157808906</v>
      </c>
      <c r="X81" s="28">
        <f>(Y62+50/7.45)/(AVERAGE(R72:X72))</f>
        <v>0.1601656134234038</v>
      </c>
      <c r="Y81" s="95"/>
      <c r="AA81" s="29">
        <f>(V62+W62+X62+AA62+50/7.45+20/7.45)/AVERAGE(U72:AA72)</f>
        <v>0.13548020995885943</v>
      </c>
      <c r="AB81" s="28">
        <f>(W62+X62+AA62+AB62+50/7.45+20/7.45+57/7.45)/AVERAGE(V72:AB72)</f>
        <v>0.11065399347425164</v>
      </c>
      <c r="AC81" s="28">
        <f>(X62+AA62+AB62+AC62+19/7.45+20/7.45+57/7.45+38/7.45)/AVERAGE(W72:AC72)</f>
        <v>0.10779616724738676</v>
      </c>
      <c r="AD81" s="28">
        <f>(AE62+152/7.45)/(AVERAGE(X72:AD72))</f>
        <v>0.10892193308550187</v>
      </c>
      <c r="AE81" s="95"/>
      <c r="AG81" s="29">
        <f>(AB62+AC62+AD62+AG62+153/7.45)/AVERAGE(AA72:AG72)</f>
        <v>0.13518546104573215</v>
      </c>
      <c r="AH81" s="29">
        <f>(AC62+AD62+AG62+AH62+121/7.45)/AVERAGE(AB72:AH72)</f>
        <v>0.15853119008995722</v>
      </c>
      <c r="AI81" s="29">
        <f>(AD62+AG62+AH62+AI62+110/7.45)/AVERAGE(AC72:AI72)</f>
        <v>0.15927272727272726</v>
      </c>
      <c r="AJ81" s="28">
        <f>(AK62+86/7.45)/(AVERAGE(AD72:AJ72))</f>
        <v>0.15084985835694054</v>
      </c>
      <c r="AK81" s="95"/>
      <c r="AM81" s="29">
        <f>(AH62+AI62+AJ62+AM62+69/7.45)/AVERAGE(AG72:AM72)</f>
        <v>0.14698795180722893</v>
      </c>
      <c r="AN81" s="29">
        <f>(AI62+AJ62+AM62+AN62+54/7.45)/AVERAGE(AH72:AN72)</f>
        <v>0.14733840304182511</v>
      </c>
      <c r="AO81" s="29">
        <f>(AJ62+AM62+AN62+AO62+31/7.45)/AVERAGE(AI72:AO72)</f>
        <v>0.15264109258887326</v>
      </c>
      <c r="AP81" s="28">
        <f>(AQ62+33/7.45)/(AVERAGE(AJ72:AP72))</f>
        <v>0.17080339647289353</v>
      </c>
      <c r="AQ81" s="95"/>
      <c r="AS81" s="29">
        <f>(AN62+AO62+AP62+AS62+29/7.45)/AVERAGE(AM72:AS72)</f>
        <v>0.17041841536309293</v>
      </c>
      <c r="AT81" s="29">
        <f>(AO62+AP62+AS62+AT62+31/7.45)/AVERAGE(AN72:AT72)</f>
        <v>0.16660450080815614</v>
      </c>
      <c r="AU81" s="29">
        <f>(AP62+AS62+AT62+AU62+39/7.45)/AVERAGE(AO72:AU72)</f>
        <v>0.16124097417696728</v>
      </c>
      <c r="AV81" s="29">
        <f>(AS62+AT62+AU62+AV62+37/7.45)/AVERAGE(AP72:AV72)</f>
        <v>0.17100073946265715</v>
      </c>
      <c r="AW81" s="95"/>
      <c r="AY81" s="29">
        <f>(AT62+AU62+AV62+AY62+36/7.45)/AVERAGE(AS72:AY72)</f>
        <v>0.16737935247403785</v>
      </c>
      <c r="AZ81" s="29">
        <f>(AU62+AV62+AY62+AZ62+27/7.45)/AVERAGE(AT72:AZ72)</f>
        <v>0.17228805834092983</v>
      </c>
      <c r="BA81" s="29">
        <f>(AV62+AY62+AZ62+BA62+12/7.45)/AVERAGE(AU72:BA72)</f>
        <v>0.17389174626500117</v>
      </c>
      <c r="BB81" s="29">
        <f>(AY62+AZ62+BA62+BB62)/AVERAGE(AV72:BB72)</f>
        <v>0.17469954156857884</v>
      </c>
      <c r="BC81" s="95"/>
      <c r="BE81" s="29">
        <f>(AZ62+BA62+BB62+BE62-96.9/7.45)/AVERAGE(AY72:BE72)</f>
        <v>0.17956495098039219</v>
      </c>
      <c r="BF81" s="29">
        <f>(BA62+BB62+BE62+BF62-96.9/7.45)/AVERAGE(AZ72:BF72)</f>
        <v>0.17826193841804439</v>
      </c>
      <c r="BG81" s="29">
        <f>(BB62+BE62+BF62+BG62-96/7.45)/AVERAGE(BA72:BG72)</f>
        <v>0.17350254429526088</v>
      </c>
      <c r="BH81" s="29">
        <f>(BE62+BF62+BG62+BH62-96/7.45)/AVERAGE(BB72:BH72)</f>
        <v>0.17621548986073787</v>
      </c>
      <c r="BI81" s="95"/>
      <c r="BK81" s="29">
        <f>(BF62+BG62+BH62+BK62)/AVERAGE(BE72:BK72)</f>
        <v>0.15943390686476011</v>
      </c>
      <c r="BL81" s="29">
        <f>(BG62+BH62+BK62+BL62)/AVERAGE(BF72:BL72)</f>
        <v>0.15071525885558584</v>
      </c>
      <c r="BM81" s="29">
        <f>(BH62+BK62+BL62+BM62)/AVERAGE(BG72:BM72)</f>
        <v>0.14791919637929135</v>
      </c>
      <c r="BN81" s="29">
        <v>0.129</v>
      </c>
      <c r="BO81" s="95"/>
      <c r="BQ81" s="29">
        <f>(BL62+BM62+BN62+BQ62)/AVERAGE(BK72:BQ72)</f>
        <v>0.1253858024691358</v>
      </c>
      <c r="BR81" s="29">
        <f>(BM62+BN62+BQ62+BR62)/AVERAGE(BL72:BR72)</f>
        <v>0.12719056905949569</v>
      </c>
      <c r="BS81" s="29"/>
      <c r="BT81" s="29"/>
      <c r="BU81" s="95"/>
      <c r="HH81" s="27"/>
    </row>
    <row r="82" spans="1:216" s="79" customFormat="1" ht="3.95" customHeight="1">
      <c r="C82" s="80"/>
      <c r="D82" s="80"/>
      <c r="E82" s="80"/>
      <c r="F82" s="80"/>
      <c r="G82" s="81"/>
      <c r="I82" s="80"/>
      <c r="J82" s="80"/>
      <c r="K82" s="80"/>
      <c r="L82" s="80"/>
      <c r="M82" s="81"/>
      <c r="O82" s="80"/>
      <c r="P82" s="80"/>
      <c r="Q82" s="80"/>
      <c r="R82" s="80"/>
      <c r="S82" s="81"/>
      <c r="U82" s="80"/>
      <c r="V82" s="80"/>
      <c r="W82" s="80"/>
      <c r="X82" s="80"/>
      <c r="Y82" s="81"/>
      <c r="AA82" s="81"/>
      <c r="AB82" s="80"/>
      <c r="AC82" s="80"/>
      <c r="AD82" s="80"/>
      <c r="AE82" s="81"/>
      <c r="AG82" s="82"/>
      <c r="AH82" s="83"/>
      <c r="AI82" s="80"/>
      <c r="AJ82" s="80"/>
      <c r="AK82" s="81"/>
    </row>
    <row r="83" spans="1:216" ht="14.1" customHeight="1">
      <c r="A83" s="221" t="s">
        <v>212</v>
      </c>
      <c r="AG83" s="7"/>
      <c r="AH83" s="7"/>
      <c r="AQ83" s="220"/>
      <c r="AT83" s="7"/>
      <c r="AW83" s="220"/>
      <c r="AZ83" s="7"/>
      <c r="BA83" s="7"/>
      <c r="BB83" s="220"/>
      <c r="BC83" s="220"/>
      <c r="BE83" s="7"/>
      <c r="BF83" s="7"/>
      <c r="BG83" s="7"/>
      <c r="BH83" s="220"/>
      <c r="BI83" s="220"/>
      <c r="BK83" s="7"/>
      <c r="BL83" s="7"/>
      <c r="BM83" s="7"/>
      <c r="BO83" s="220"/>
      <c r="BQ83" s="7"/>
      <c r="BR83" s="7"/>
      <c r="BS83" s="7"/>
      <c r="BU83" s="220"/>
    </row>
    <row r="84" spans="1:216" ht="6" customHeight="1">
      <c r="A84" s="222"/>
      <c r="AQ84" s="3"/>
    </row>
    <row r="85" spans="1:216" ht="23.1" customHeight="1">
      <c r="A85" s="223" t="s">
        <v>164</v>
      </c>
      <c r="AQ85" s="3"/>
      <c r="BK85" s="7"/>
      <c r="BL85" s="7"/>
      <c r="BQ85" s="7"/>
      <c r="BR85" s="7"/>
    </row>
    <row r="86" spans="1:216">
      <c r="AQ86" s="220"/>
      <c r="AW86" s="220"/>
      <c r="BB86" s="220"/>
      <c r="BC86" s="220"/>
      <c r="BH86" s="220"/>
      <c r="BI86" s="220"/>
      <c r="BK86" s="7"/>
      <c r="BO86" s="220"/>
      <c r="BQ86" s="7"/>
      <c r="BU86" s="220"/>
    </row>
  </sheetData>
  <mergeCells count="24"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  <mergeCell ref="AA1:AE1"/>
    <mergeCell ref="AA2:AE2"/>
    <mergeCell ref="AG1:AK1"/>
    <mergeCell ref="AG2:AK2"/>
    <mergeCell ref="AY1:BC1"/>
    <mergeCell ref="AY2:BC2"/>
    <mergeCell ref="BE1:BI1"/>
    <mergeCell ref="BE2:BI2"/>
    <mergeCell ref="AS1:AW1"/>
    <mergeCell ref="AS2:AW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43"/>
  <sheetViews>
    <sheetView showGridLines="0" zoomScaleNormal="100" workbookViewId="0">
      <pane xSplit="1" ySplit="3" topLeftCell="AU4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BC59" sqref="BC59"/>
    </sheetView>
  </sheetViews>
  <sheetFormatPr defaultColWidth="9.140625" defaultRowHeight="12.75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61" width="8.7109375" style="2" customWidth="1"/>
    <col min="62" max="16384" width="9.140625" style="2"/>
  </cols>
  <sheetData>
    <row r="1" spans="1:76">
      <c r="C1" s="230" t="s">
        <v>80</v>
      </c>
      <c r="D1" s="230"/>
      <c r="E1" s="230"/>
      <c r="F1" s="230"/>
      <c r="H1" s="230" t="s">
        <v>80</v>
      </c>
      <c r="I1" s="230"/>
      <c r="J1" s="230"/>
      <c r="K1" s="230"/>
      <c r="M1" s="230" t="s">
        <v>80</v>
      </c>
      <c r="N1" s="230"/>
      <c r="O1" s="230"/>
      <c r="P1" s="230"/>
      <c r="R1" s="230" t="s">
        <v>80</v>
      </c>
      <c r="S1" s="230"/>
      <c r="T1" s="230"/>
      <c r="U1" s="230"/>
      <c r="W1" s="230" t="s">
        <v>80</v>
      </c>
      <c r="X1" s="230"/>
      <c r="Y1" s="230"/>
      <c r="Z1" s="230"/>
      <c r="AB1" s="230" t="s">
        <v>80</v>
      </c>
      <c r="AC1" s="230"/>
      <c r="AD1" s="230"/>
      <c r="AE1" s="230"/>
      <c r="AG1" s="230" t="s">
        <v>80</v>
      </c>
      <c r="AH1" s="230"/>
      <c r="AI1" s="230"/>
      <c r="AJ1" s="230"/>
      <c r="AL1" s="230" t="s">
        <v>80</v>
      </c>
      <c r="AM1" s="230"/>
      <c r="AN1" s="230"/>
      <c r="AO1" s="230"/>
      <c r="AQ1" s="230" t="s">
        <v>80</v>
      </c>
      <c r="AR1" s="230"/>
      <c r="AS1" s="230"/>
      <c r="AT1" s="230"/>
      <c r="AV1" s="230" t="s">
        <v>80</v>
      </c>
      <c r="AW1" s="230"/>
      <c r="AX1" s="230"/>
      <c r="AY1" s="230"/>
      <c r="BA1" s="230" t="s">
        <v>80</v>
      </c>
      <c r="BB1" s="230"/>
      <c r="BC1" s="230"/>
      <c r="BD1" s="230"/>
      <c r="BF1" s="230" t="s">
        <v>80</v>
      </c>
      <c r="BG1" s="230"/>
      <c r="BH1" s="230"/>
      <c r="BI1" s="230"/>
    </row>
    <row r="2" spans="1:76">
      <c r="A2" s="1" t="s">
        <v>34</v>
      </c>
      <c r="C2" s="229">
        <v>2005</v>
      </c>
      <c r="D2" s="229"/>
      <c r="E2" s="229"/>
      <c r="F2" s="229"/>
      <c r="H2" s="229">
        <v>2006</v>
      </c>
      <c r="I2" s="229"/>
      <c r="J2" s="229"/>
      <c r="K2" s="229"/>
      <c r="M2" s="229">
        <v>2007</v>
      </c>
      <c r="N2" s="229"/>
      <c r="O2" s="229"/>
      <c r="P2" s="229"/>
      <c r="R2" s="229">
        <v>2008</v>
      </c>
      <c r="S2" s="229"/>
      <c r="T2" s="229"/>
      <c r="U2" s="229"/>
      <c r="W2" s="229">
        <v>2009</v>
      </c>
      <c r="X2" s="229"/>
      <c r="Y2" s="229"/>
      <c r="Z2" s="229"/>
      <c r="AB2" s="229">
        <v>2010</v>
      </c>
      <c r="AC2" s="229"/>
      <c r="AD2" s="229"/>
      <c r="AE2" s="229"/>
      <c r="AG2" s="229">
        <v>2011</v>
      </c>
      <c r="AH2" s="229"/>
      <c r="AI2" s="229"/>
      <c r="AJ2" s="229"/>
      <c r="AL2" s="229">
        <v>2012</v>
      </c>
      <c r="AM2" s="229"/>
      <c r="AN2" s="229"/>
      <c r="AO2" s="229"/>
      <c r="AQ2" s="229">
        <v>2013</v>
      </c>
      <c r="AR2" s="229"/>
      <c r="AS2" s="229"/>
      <c r="AT2" s="229"/>
      <c r="AV2" s="229">
        <v>2014</v>
      </c>
      <c r="AW2" s="229"/>
      <c r="AX2" s="229"/>
      <c r="AY2" s="229"/>
      <c r="BA2" s="229">
        <v>2015</v>
      </c>
      <c r="BB2" s="229"/>
      <c r="BC2" s="229"/>
      <c r="BD2" s="229"/>
      <c r="BF2" s="229">
        <v>2016</v>
      </c>
      <c r="BG2" s="229"/>
      <c r="BH2" s="229"/>
      <c r="BI2" s="229"/>
    </row>
    <row r="3" spans="1:76" s="59" customFormat="1" ht="13.5" thickBot="1">
      <c r="A3" s="57" t="s">
        <v>184</v>
      </c>
      <c r="C3" s="58" t="s">
        <v>10</v>
      </c>
      <c r="D3" s="58" t="s">
        <v>11</v>
      </c>
      <c r="E3" s="58" t="s">
        <v>12</v>
      </c>
      <c r="F3" s="58" t="s">
        <v>13</v>
      </c>
      <c r="G3" s="58"/>
      <c r="H3" s="58" t="s">
        <v>10</v>
      </c>
      <c r="I3" s="58" t="s">
        <v>11</v>
      </c>
      <c r="J3" s="58" t="s">
        <v>12</v>
      </c>
      <c r="K3" s="58" t="s">
        <v>13</v>
      </c>
      <c r="M3" s="58" t="s">
        <v>10</v>
      </c>
      <c r="N3" s="58" t="s">
        <v>11</v>
      </c>
      <c r="O3" s="58" t="s">
        <v>12</v>
      </c>
      <c r="P3" s="58" t="s">
        <v>13</v>
      </c>
      <c r="R3" s="58" t="s">
        <v>10</v>
      </c>
      <c r="S3" s="58" t="s">
        <v>11</v>
      </c>
      <c r="T3" s="58" t="s">
        <v>12</v>
      </c>
      <c r="U3" s="58" t="s">
        <v>13</v>
      </c>
      <c r="W3" s="58" t="s">
        <v>10</v>
      </c>
      <c r="X3" s="58" t="s">
        <v>11</v>
      </c>
      <c r="Y3" s="58" t="s">
        <v>12</v>
      </c>
      <c r="Z3" s="58" t="s">
        <v>13</v>
      </c>
      <c r="AB3" s="58" t="s">
        <v>10</v>
      </c>
      <c r="AC3" s="58" t="s">
        <v>11</v>
      </c>
      <c r="AD3" s="58" t="s">
        <v>12</v>
      </c>
      <c r="AE3" s="58" t="s">
        <v>13</v>
      </c>
      <c r="AG3" s="58" t="s">
        <v>10</v>
      </c>
      <c r="AH3" s="58" t="s">
        <v>11</v>
      </c>
      <c r="AI3" s="58" t="s">
        <v>12</v>
      </c>
      <c r="AJ3" s="58" t="s">
        <v>13</v>
      </c>
      <c r="AL3" s="58" t="s">
        <v>10</v>
      </c>
      <c r="AM3" s="58" t="s">
        <v>11</v>
      </c>
      <c r="AN3" s="58" t="s">
        <v>12</v>
      </c>
      <c r="AO3" s="58" t="s">
        <v>13</v>
      </c>
      <c r="AQ3" s="58" t="s">
        <v>10</v>
      </c>
      <c r="AR3" s="58" t="s">
        <v>11</v>
      </c>
      <c r="AS3" s="58" t="s">
        <v>12</v>
      </c>
      <c r="AT3" s="58" t="s">
        <v>13</v>
      </c>
      <c r="AV3" s="58" t="s">
        <v>10</v>
      </c>
      <c r="AW3" s="58" t="s">
        <v>11</v>
      </c>
      <c r="AX3" s="58" t="s">
        <v>12</v>
      </c>
      <c r="AY3" s="58" t="s">
        <v>13</v>
      </c>
      <c r="BA3" s="58" t="s">
        <v>10</v>
      </c>
      <c r="BB3" s="58" t="s">
        <v>11</v>
      </c>
      <c r="BC3" s="58" t="s">
        <v>12</v>
      </c>
      <c r="BD3" s="58" t="s">
        <v>13</v>
      </c>
      <c r="BF3" s="58" t="s">
        <v>10</v>
      </c>
      <c r="BG3" s="58" t="s">
        <v>11</v>
      </c>
      <c r="BH3" s="58" t="s">
        <v>12</v>
      </c>
      <c r="BI3" s="58" t="s">
        <v>13</v>
      </c>
    </row>
    <row r="4" spans="1:76" ht="13.5" thickTop="1">
      <c r="D4" s="72"/>
      <c r="F4" s="72"/>
      <c r="I4" s="72"/>
      <c r="K4" s="72"/>
      <c r="N4" s="72"/>
      <c r="P4" s="72"/>
      <c r="S4" s="72"/>
      <c r="U4" s="72"/>
      <c r="X4" s="72"/>
      <c r="Z4" s="72"/>
      <c r="AC4" s="72"/>
      <c r="AE4" s="72"/>
      <c r="AH4" s="72"/>
      <c r="AJ4" s="72"/>
      <c r="AM4" s="72"/>
      <c r="AO4" s="72"/>
      <c r="AR4" s="72"/>
      <c r="AT4" s="72"/>
      <c r="AW4" s="72"/>
      <c r="AY4" s="72"/>
      <c r="BB4" s="72"/>
      <c r="BD4" s="72"/>
      <c r="BG4" s="72"/>
      <c r="BI4" s="72"/>
    </row>
    <row r="5" spans="1:76">
      <c r="A5" s="2" t="str">
        <f>' Financial Highlights'!A41</f>
        <v>Number of DKK 20 shares ('000)</v>
      </c>
      <c r="C5" s="7">
        <v>24500</v>
      </c>
      <c r="D5" s="50">
        <v>24500</v>
      </c>
      <c r="E5" s="7">
        <v>24500</v>
      </c>
      <c r="F5" s="50">
        <v>24500</v>
      </c>
      <c r="G5" s="7"/>
      <c r="H5" s="7">
        <v>24500</v>
      </c>
      <c r="I5" s="50">
        <v>23500</v>
      </c>
      <c r="J5" s="7">
        <v>23500</v>
      </c>
      <c r="K5" s="50">
        <v>23500</v>
      </c>
      <c r="L5" s="7"/>
      <c r="M5" s="7">
        <v>23500</v>
      </c>
      <c r="N5" s="50">
        <v>23638</v>
      </c>
      <c r="O5" s="7">
        <v>23638</v>
      </c>
      <c r="P5" s="50">
        <v>23638</v>
      </c>
      <c r="Q5" s="7"/>
      <c r="R5" s="7">
        <v>23655</v>
      </c>
      <c r="S5" s="50">
        <v>23718</v>
      </c>
      <c r="T5" s="7">
        <v>23718</v>
      </c>
      <c r="U5" s="50">
        <v>23718</v>
      </c>
      <c r="V5" s="7"/>
      <c r="W5" s="7">
        <v>23718</v>
      </c>
      <c r="X5" s="50">
        <v>23718</v>
      </c>
      <c r="Y5" s="7">
        <v>23718</v>
      </c>
      <c r="Z5" s="50">
        <v>23718</v>
      </c>
      <c r="AB5" s="7">
        <v>23722</v>
      </c>
      <c r="AC5" s="50">
        <v>23738</v>
      </c>
      <c r="AD5" s="7">
        <v>23738</v>
      </c>
      <c r="AE5" s="50">
        <v>23738</v>
      </c>
      <c r="AG5" s="7">
        <v>23737.978999999999</v>
      </c>
      <c r="AH5" s="50">
        <v>23737.978999999999</v>
      </c>
      <c r="AI5" s="7">
        <v>23737.978999999999</v>
      </c>
      <c r="AJ5" s="50">
        <v>23737.978999999999</v>
      </c>
      <c r="AL5" s="7">
        <v>23888</v>
      </c>
      <c r="AM5" s="50">
        <v>23888</v>
      </c>
      <c r="AN5" s="7">
        <v>23888</v>
      </c>
      <c r="AO5" s="50">
        <v>23888</v>
      </c>
      <c r="AQ5" s="7">
        <v>23930</v>
      </c>
      <c r="AR5" s="50">
        <v>23930</v>
      </c>
      <c r="AS5" s="7">
        <v>23930</v>
      </c>
      <c r="AT5" s="50">
        <v>23930</v>
      </c>
      <c r="AV5" s="7">
        <v>23934</v>
      </c>
      <c r="AW5" s="50">
        <v>23934</v>
      </c>
      <c r="AX5" s="7">
        <v>23934</v>
      </c>
      <c r="AY5" s="50">
        <v>23934</v>
      </c>
      <c r="BA5" s="7">
        <v>24186</v>
      </c>
      <c r="BB5" s="50">
        <v>24186</v>
      </c>
      <c r="BC5" s="7">
        <v>24186</v>
      </c>
      <c r="BD5" s="50">
        <v>24186</v>
      </c>
      <c r="BF5" s="7">
        <v>24356</v>
      </c>
      <c r="BG5" s="50">
        <v>24356</v>
      </c>
      <c r="BH5" s="7"/>
      <c r="BI5" s="50"/>
    </row>
    <row r="6" spans="1:76">
      <c r="A6" s="2" t="s">
        <v>39</v>
      </c>
      <c r="C6" s="7">
        <v>0</v>
      </c>
      <c r="D6" s="50">
        <v>0</v>
      </c>
      <c r="E6" s="7">
        <v>1105</v>
      </c>
      <c r="F6" s="50">
        <v>1105</v>
      </c>
      <c r="G6" s="7"/>
      <c r="H6" s="7">
        <v>1105</v>
      </c>
      <c r="I6" s="50">
        <v>78</v>
      </c>
      <c r="J6" s="7">
        <v>78</v>
      </c>
      <c r="K6" s="50">
        <v>78</v>
      </c>
      <c r="L6" s="7"/>
      <c r="M6" s="7">
        <v>78</v>
      </c>
      <c r="N6" s="50">
        <v>78</v>
      </c>
      <c r="O6" s="7">
        <v>78</v>
      </c>
      <c r="P6" s="50">
        <v>78</v>
      </c>
      <c r="Q6" s="7"/>
      <c r="R6" s="8">
        <v>78</v>
      </c>
      <c r="S6" s="50">
        <v>78</v>
      </c>
      <c r="T6" s="8">
        <v>78</v>
      </c>
      <c r="U6" s="50">
        <v>78</v>
      </c>
      <c r="V6" s="7"/>
      <c r="W6" s="8">
        <v>78</v>
      </c>
      <c r="X6" s="50">
        <v>78</v>
      </c>
      <c r="Y6" s="8">
        <v>78</v>
      </c>
      <c r="Z6" s="50">
        <v>78</v>
      </c>
      <c r="AB6" s="8">
        <v>78</v>
      </c>
      <c r="AC6" s="50">
        <v>77</v>
      </c>
      <c r="AD6" s="8">
        <v>77</v>
      </c>
      <c r="AE6" s="50">
        <v>77</v>
      </c>
      <c r="AG6" s="8">
        <v>77.424999999999997</v>
      </c>
      <c r="AH6" s="50">
        <v>77.424999999999997</v>
      </c>
      <c r="AI6" s="8">
        <v>77.424999999999997</v>
      </c>
      <c r="AJ6" s="50">
        <v>77.424999999999997</v>
      </c>
      <c r="AL6" s="8">
        <v>77.424999999999997</v>
      </c>
      <c r="AM6" s="50">
        <v>77</v>
      </c>
      <c r="AN6" s="8">
        <v>77</v>
      </c>
      <c r="AO6" s="50">
        <v>77</v>
      </c>
      <c r="AQ6" s="8">
        <v>77</v>
      </c>
      <c r="AR6" s="50">
        <v>77</v>
      </c>
      <c r="AS6" s="8">
        <v>77</v>
      </c>
      <c r="AT6" s="50">
        <v>77</v>
      </c>
      <c r="AV6" s="8">
        <v>77</v>
      </c>
      <c r="AW6" s="50">
        <v>77</v>
      </c>
      <c r="AX6" s="8">
        <v>77</v>
      </c>
      <c r="AY6" s="50">
        <v>77</v>
      </c>
      <c r="BA6" s="8">
        <v>77</v>
      </c>
      <c r="BB6" s="50">
        <v>77</v>
      </c>
      <c r="BC6" s="8">
        <v>77</v>
      </c>
      <c r="BD6" s="50">
        <v>77</v>
      </c>
      <c r="BF6" s="8">
        <v>176</v>
      </c>
      <c r="BG6" s="50">
        <v>589</v>
      </c>
      <c r="BH6" s="8"/>
      <c r="BI6" s="50"/>
    </row>
    <row r="7" spans="1:76" s="85" customFormat="1">
      <c r="A7" s="85" t="s">
        <v>40</v>
      </c>
      <c r="C7" s="87">
        <f>C5-C6</f>
        <v>24500</v>
      </c>
      <c r="D7" s="88">
        <f>D5-D6</f>
        <v>24500</v>
      </c>
      <c r="E7" s="87">
        <f>E5-E6</f>
        <v>23395</v>
      </c>
      <c r="F7" s="88">
        <f>F5-F6</f>
        <v>23395</v>
      </c>
      <c r="G7" s="87"/>
      <c r="H7" s="87">
        <f>H5-H6</f>
        <v>23395</v>
      </c>
      <c r="I7" s="88">
        <f>I5-I6</f>
        <v>23422</v>
      </c>
      <c r="J7" s="87">
        <f>J5-J6</f>
        <v>23422</v>
      </c>
      <c r="K7" s="88">
        <f>K5-K6</f>
        <v>23422</v>
      </c>
      <c r="L7" s="87"/>
      <c r="M7" s="87">
        <f>M5-M6</f>
        <v>23422</v>
      </c>
      <c r="N7" s="88">
        <f>N5-N6</f>
        <v>23560</v>
      </c>
      <c r="O7" s="87">
        <f>O5-O6</f>
        <v>23560</v>
      </c>
      <c r="P7" s="88">
        <f>P5-P6</f>
        <v>23560</v>
      </c>
      <c r="Q7" s="87"/>
      <c r="R7" s="86">
        <f>R5-R6</f>
        <v>23577</v>
      </c>
      <c r="S7" s="88">
        <f>S5-S6</f>
        <v>23640</v>
      </c>
      <c r="T7" s="86">
        <f>T5-T6</f>
        <v>23640</v>
      </c>
      <c r="U7" s="88">
        <f>U5-U6</f>
        <v>23640</v>
      </c>
      <c r="V7" s="87"/>
      <c r="W7" s="86">
        <f>W5-W6</f>
        <v>23640</v>
      </c>
      <c r="X7" s="88">
        <f>X5-X6</f>
        <v>23640</v>
      </c>
      <c r="Y7" s="86">
        <f>Y5-Y6</f>
        <v>23640</v>
      </c>
      <c r="Z7" s="88">
        <f>Z5-Z6</f>
        <v>23640</v>
      </c>
      <c r="AB7" s="86">
        <f>AB5-AB6</f>
        <v>23644</v>
      </c>
      <c r="AC7" s="88">
        <f>AC5-AC6</f>
        <v>23661</v>
      </c>
      <c r="AD7" s="86">
        <f>AD5-AD6</f>
        <v>23661</v>
      </c>
      <c r="AE7" s="88">
        <f>AE5-AE6</f>
        <v>23661</v>
      </c>
      <c r="AG7" s="86">
        <f>AG5-AG6</f>
        <v>23660.554</v>
      </c>
      <c r="AH7" s="88">
        <f>AH5-AH6</f>
        <v>23660.554</v>
      </c>
      <c r="AI7" s="86">
        <f>AI5-AI6</f>
        <v>23660.554</v>
      </c>
      <c r="AJ7" s="88">
        <f>AJ5-AJ6</f>
        <v>23660.554</v>
      </c>
      <c r="AL7" s="86">
        <f>AL5-AL6</f>
        <v>23810.575000000001</v>
      </c>
      <c r="AM7" s="88">
        <f>AM5-AM6</f>
        <v>23811</v>
      </c>
      <c r="AN7" s="86">
        <f>AN5-AN6</f>
        <v>23811</v>
      </c>
      <c r="AO7" s="88">
        <f>AO5-AO6</f>
        <v>23811</v>
      </c>
      <c r="AQ7" s="86">
        <f>AQ5-AQ6</f>
        <v>23853</v>
      </c>
      <c r="AR7" s="88">
        <f>AR5-AR6</f>
        <v>23853</v>
      </c>
      <c r="AS7" s="86">
        <f>AS5-AS6</f>
        <v>23853</v>
      </c>
      <c r="AT7" s="88">
        <f>AT5-AT6</f>
        <v>23853</v>
      </c>
      <c r="AV7" s="86">
        <f>AV5-AV6</f>
        <v>23857</v>
      </c>
      <c r="AW7" s="88">
        <f>AW5-AW6</f>
        <v>23857</v>
      </c>
      <c r="AX7" s="86">
        <f>AX5-AX6</f>
        <v>23857</v>
      </c>
      <c r="AY7" s="88">
        <f>AY5-AY6</f>
        <v>23857</v>
      </c>
      <c r="BA7" s="86">
        <f>BA5-BA6</f>
        <v>24109</v>
      </c>
      <c r="BB7" s="88">
        <f>BB5-BB6</f>
        <v>24109</v>
      </c>
      <c r="BC7" s="86">
        <f>BC5-BC6</f>
        <v>24109</v>
      </c>
      <c r="BD7" s="88">
        <f>BD5-BD6</f>
        <v>24109</v>
      </c>
      <c r="BF7" s="86">
        <f>BF5-BF6</f>
        <v>24180</v>
      </c>
      <c r="BG7" s="86">
        <f>BG5-BG6</f>
        <v>23767</v>
      </c>
      <c r="BH7" s="86"/>
      <c r="BI7" s="88"/>
    </row>
    <row r="8" spans="1:76" s="89" customFormat="1">
      <c r="C8" s="90"/>
      <c r="D8" s="104"/>
      <c r="E8" s="90"/>
      <c r="F8" s="104"/>
      <c r="G8" s="90"/>
      <c r="H8" s="90"/>
      <c r="I8" s="104"/>
      <c r="J8" s="90"/>
      <c r="K8" s="104"/>
      <c r="L8" s="90"/>
      <c r="M8" s="90"/>
      <c r="N8" s="104"/>
      <c r="O8" s="90"/>
      <c r="P8" s="104"/>
      <c r="Q8" s="90"/>
      <c r="R8" s="91"/>
      <c r="S8" s="104"/>
      <c r="T8" s="91"/>
      <c r="U8" s="104"/>
      <c r="V8" s="90"/>
      <c r="W8" s="91"/>
      <c r="X8" s="104"/>
      <c r="Y8" s="91"/>
      <c r="Z8" s="104"/>
      <c r="AB8" s="91"/>
      <c r="AC8" s="104"/>
      <c r="AD8" s="91"/>
      <c r="AE8" s="104"/>
      <c r="AG8" s="91"/>
      <c r="AH8" s="104"/>
      <c r="AI8" s="91"/>
      <c r="AJ8" s="104"/>
      <c r="AL8" s="91"/>
      <c r="AM8" s="104"/>
      <c r="AN8" s="91"/>
      <c r="AO8" s="104"/>
      <c r="AQ8" s="91"/>
      <c r="AR8" s="104"/>
      <c r="AS8" s="91"/>
      <c r="AT8" s="104"/>
      <c r="AV8" s="91"/>
      <c r="AW8" s="104"/>
      <c r="AX8" s="91"/>
      <c r="AY8" s="104"/>
      <c r="BA8" s="91"/>
      <c r="BB8" s="104"/>
      <c r="BC8" s="91"/>
      <c r="BD8" s="104"/>
      <c r="BF8" s="91"/>
      <c r="BG8" s="104"/>
      <c r="BH8" s="91"/>
      <c r="BI8" s="104"/>
    </row>
    <row r="9" spans="1:76">
      <c r="A9" s="2" t="str">
        <f>' Financial Highlights'!A46</f>
        <v>Market price, DKK, per share</v>
      </c>
      <c r="C9" s="7">
        <f>' Financial Highlights'!C46</f>
        <v>198</v>
      </c>
      <c r="D9" s="50">
        <f>' Financial Highlights'!D46</f>
        <v>229</v>
      </c>
      <c r="E9" s="7">
        <f>' Financial Highlights'!E46</f>
        <v>262</v>
      </c>
      <c r="F9" s="50">
        <f>' Financial Highlights'!F46</f>
        <v>289</v>
      </c>
      <c r="G9" s="7"/>
      <c r="H9" s="7">
        <f>' Financial Highlights'!I46</f>
        <v>389</v>
      </c>
      <c r="I9" s="50">
        <v>366</v>
      </c>
      <c r="J9" s="7">
        <v>442</v>
      </c>
      <c r="K9" s="50">
        <v>503</v>
      </c>
      <c r="L9" s="7"/>
      <c r="M9" s="7">
        <v>448</v>
      </c>
      <c r="N9" s="50">
        <v>549</v>
      </c>
      <c r="O9" s="7">
        <v>586</v>
      </c>
      <c r="P9" s="50">
        <v>459</v>
      </c>
      <c r="Q9" s="7"/>
      <c r="R9" s="8">
        <v>340</v>
      </c>
      <c r="S9" s="50">
        <v>383</v>
      </c>
      <c r="T9" s="8">
        <v>245</v>
      </c>
      <c r="U9" s="50">
        <v>106</v>
      </c>
      <c r="V9" s="7"/>
      <c r="W9" s="8">
        <v>97</v>
      </c>
      <c r="X9" s="50">
        <v>178.75</v>
      </c>
      <c r="Y9" s="8">
        <v>297</v>
      </c>
      <c r="Z9" s="50">
        <v>291</v>
      </c>
      <c r="AB9" s="8">
        <v>305</v>
      </c>
      <c r="AC9" s="50">
        <v>274</v>
      </c>
      <c r="AD9" s="8">
        <v>270</v>
      </c>
      <c r="AE9" s="50">
        <v>297</v>
      </c>
      <c r="AG9" s="8">
        <v>309</v>
      </c>
      <c r="AH9" s="50">
        <v>329</v>
      </c>
      <c r="AI9" s="8">
        <v>202</v>
      </c>
      <c r="AJ9" s="50">
        <v>191</v>
      </c>
      <c r="AL9" s="8">
        <v>254</v>
      </c>
      <c r="AM9" s="50">
        <v>190</v>
      </c>
      <c r="AN9" s="8">
        <v>202</v>
      </c>
      <c r="AO9" s="50">
        <v>204</v>
      </c>
      <c r="AQ9" s="8">
        <v>216</v>
      </c>
      <c r="AR9" s="50">
        <v>208</v>
      </c>
      <c r="AS9" s="8">
        <v>274</v>
      </c>
      <c r="AT9" s="50">
        <v>268</v>
      </c>
      <c r="AV9" s="8">
        <v>314</v>
      </c>
      <c r="AW9" s="50">
        <v>374</v>
      </c>
      <c r="AX9" s="8">
        <v>325</v>
      </c>
      <c r="AY9" s="50">
        <v>332</v>
      </c>
      <c r="BA9" s="8">
        <v>445</v>
      </c>
      <c r="BB9" s="50">
        <v>384</v>
      </c>
      <c r="BC9" s="8">
        <v>352</v>
      </c>
      <c r="BD9" s="50">
        <v>357</v>
      </c>
      <c r="BF9" s="8">
        <v>378</v>
      </c>
      <c r="BG9" s="50">
        <v>337</v>
      </c>
      <c r="BH9" s="8"/>
      <c r="BI9" s="50"/>
    </row>
    <row r="10" spans="1:76">
      <c r="C10" s="7"/>
      <c r="D10" s="50"/>
      <c r="E10" s="7"/>
      <c r="F10" s="50"/>
      <c r="G10" s="7"/>
      <c r="H10" s="7"/>
      <c r="I10" s="50"/>
      <c r="J10" s="7"/>
      <c r="K10" s="50"/>
      <c r="L10" s="7"/>
      <c r="M10" s="7"/>
      <c r="N10" s="50"/>
      <c r="O10" s="7"/>
      <c r="P10" s="50"/>
      <c r="Q10" s="7"/>
      <c r="R10" s="8"/>
      <c r="S10" s="50"/>
      <c r="T10" s="8"/>
      <c r="U10" s="50"/>
      <c r="V10" s="7"/>
      <c r="W10" s="8"/>
      <c r="X10" s="50"/>
      <c r="Y10" s="8"/>
      <c r="Z10" s="50"/>
      <c r="AB10" s="8"/>
      <c r="AC10" s="50"/>
      <c r="AD10" s="8"/>
      <c r="AE10" s="50"/>
      <c r="AG10" s="8"/>
      <c r="AH10" s="50"/>
      <c r="AI10" s="8"/>
      <c r="AJ10" s="50"/>
      <c r="AL10" s="8"/>
      <c r="AM10" s="50"/>
      <c r="AN10" s="8"/>
      <c r="AO10" s="50"/>
      <c r="AQ10" s="8"/>
      <c r="AR10" s="50"/>
      <c r="AS10" s="8"/>
      <c r="AT10" s="50"/>
      <c r="AV10" s="8"/>
      <c r="AW10" s="50"/>
      <c r="AX10" s="8"/>
      <c r="AY10" s="50"/>
      <c r="BA10" s="8"/>
      <c r="BB10" s="50"/>
      <c r="BC10" s="8"/>
      <c r="BD10" s="50"/>
      <c r="BF10" s="8"/>
      <c r="BG10" s="50"/>
      <c r="BH10" s="8"/>
      <c r="BI10" s="50"/>
    </row>
    <row r="11" spans="1:76">
      <c r="A11" s="2" t="s">
        <v>178</v>
      </c>
      <c r="C11" s="31">
        <f>(C7*C9/1000)/7.45</f>
        <v>651.14093959731542</v>
      </c>
      <c r="D11" s="125">
        <f>(D7*D9/1000)/7.45</f>
        <v>753.08724832214762</v>
      </c>
      <c r="E11" s="31">
        <f>(E7*E9/1000)/7.45</f>
        <v>822.7503355704697</v>
      </c>
      <c r="F11" s="125">
        <f>(F7*F9/1000)/7.45</f>
        <v>907.53758389261736</v>
      </c>
      <c r="G11" s="31"/>
      <c r="H11" s="31">
        <f>(H7*H9/1000)/7.45</f>
        <v>1221.5644295302013</v>
      </c>
      <c r="I11" s="125">
        <f>(I7*I9/1000)/7.45</f>
        <v>1150.664697986577</v>
      </c>
      <c r="J11" s="31">
        <f>(J7*J9/1000)/7.45</f>
        <v>1389.6005369127515</v>
      </c>
      <c r="K11" s="125">
        <f>(K7*K9/1000)/7.45</f>
        <v>1581.3779865771812</v>
      </c>
      <c r="L11" s="31"/>
      <c r="M11" s="31">
        <f>(M7*M9/1000)/7.45</f>
        <v>1408.4638926174498</v>
      </c>
      <c r="N11" s="125">
        <f>(N7*N9/1000)/7.45</f>
        <v>1736.1664429530201</v>
      </c>
      <c r="O11" s="31">
        <f>(O7*O9/1000)/7.45</f>
        <v>1853.1758389261745</v>
      </c>
      <c r="P11" s="125">
        <f>(P7*P9/1000)/7.45</f>
        <v>1451.5489932885907</v>
      </c>
      <c r="Q11" s="31"/>
      <c r="R11" s="126">
        <f>(R7*R9/1000)/7.45</f>
        <v>1075.9973154362417</v>
      </c>
      <c r="S11" s="125">
        <f>(S7*S9/1000)/7.45</f>
        <v>1215.3181208053693</v>
      </c>
      <c r="T11" s="126">
        <f>(T7*T9/1000)/7.45</f>
        <v>777.42281879194627</v>
      </c>
      <c r="U11" s="125">
        <f>(U7*U9/1000)/7.45</f>
        <v>336.35436241610739</v>
      </c>
      <c r="V11" s="31"/>
      <c r="W11" s="126">
        <f>(W7*W9/1000)/7.45</f>
        <v>307.7959731543624</v>
      </c>
      <c r="X11" s="125">
        <f>(X7*X9/1000)/7.45</f>
        <v>567.20134228187908</v>
      </c>
      <c r="Y11" s="126">
        <f>(Y7*Y9/1000)/7.45</f>
        <v>942.42684563758382</v>
      </c>
      <c r="Z11" s="125">
        <f>(Z7*Z9/1000)/7.45</f>
        <v>923.3879194630872</v>
      </c>
      <c r="AA11" s="31"/>
      <c r="AB11" s="126">
        <f>(AB7*AB9/1000)/7.45</f>
        <v>967.97583892617445</v>
      </c>
      <c r="AC11" s="125">
        <f>(AC7*AC9/1000)/7.45</f>
        <v>870.21664429530199</v>
      </c>
      <c r="AD11" s="126">
        <f>(AD7*AD9/1000)/7.45</f>
        <v>857.51275167785241</v>
      </c>
      <c r="AE11" s="125">
        <f>(AE7*AE9/1000)/7.45</f>
        <v>943.26402684563755</v>
      </c>
      <c r="AF11" s="31"/>
      <c r="AG11" s="126">
        <f>(AG7*AG9/1000)/7.45</f>
        <v>981.35720617449658</v>
      </c>
      <c r="AH11" s="125">
        <f>(AH7*AH9/1000)/7.45</f>
        <v>1044.8754719463086</v>
      </c>
      <c r="AI11" s="126">
        <f>(AI7*AI9/1000)/7.45</f>
        <v>641.53448429530192</v>
      </c>
      <c r="AJ11" s="125">
        <f>(AJ7*AJ9/1000)/7.45</f>
        <v>606.5994381208053</v>
      </c>
      <c r="AK11" s="31"/>
      <c r="AL11" s="126">
        <f>(AL7*AL9/1000)/7.45</f>
        <v>811.79678523489929</v>
      </c>
      <c r="AM11" s="125">
        <f>(AM7*AM9/1000)/7.45</f>
        <v>607.26040268456381</v>
      </c>
      <c r="AN11" s="126">
        <f>(AN7*AN9/1000)/7.45</f>
        <v>645.61369127516775</v>
      </c>
      <c r="AO11" s="125">
        <f>(AO7*AO9/1000)/7.45</f>
        <v>652.00590604026854</v>
      </c>
      <c r="AP11" s="31"/>
      <c r="AQ11" s="126">
        <f>(AQ7*AQ9/1000)/7.45</f>
        <v>691.57691275167781</v>
      </c>
      <c r="AR11" s="125">
        <f>(AR7*AR9/1000)/7.45</f>
        <v>665.96295302013425</v>
      </c>
      <c r="AS11" s="126">
        <f>(AS7*AS9/1000)/7.45</f>
        <v>877.2781208053691</v>
      </c>
      <c r="AT11" s="125">
        <f>(AT7*AT9/1000)/7.45</f>
        <v>858.06765100671146</v>
      </c>
      <c r="AU11" s="31"/>
      <c r="AV11" s="126">
        <f>(AV7*AV9/1000)/7.45</f>
        <v>1005.516510067114</v>
      </c>
      <c r="AW11" s="125">
        <f>(AW7*AW9/1000)/7.45</f>
        <v>1197.653422818792</v>
      </c>
      <c r="AX11" s="126">
        <f>(AX7*AX9/1000)/7.45</f>
        <v>1040.7416107382548</v>
      </c>
      <c r="AY11" s="125">
        <f>(AY7*AY9/1000)/7.45</f>
        <v>1063.1575838926174</v>
      </c>
      <c r="AZ11" s="31"/>
      <c r="BA11" s="126">
        <f>(BA7*BA9/1000)/7.45</f>
        <v>1440.0677852348992</v>
      </c>
      <c r="BB11" s="125">
        <f>(BB7*BB9/1000)/7.45</f>
        <v>1242.6652348993289</v>
      </c>
      <c r="BC11" s="126">
        <f>(BC7*BC9/1000)/7.45</f>
        <v>1139.1097986577181</v>
      </c>
      <c r="BD11" s="125">
        <f>(BD7*BD9/1000)/7.45</f>
        <v>1155.2903355704698</v>
      </c>
      <c r="BE11" s="31"/>
      <c r="BF11" s="126">
        <f>(BF7*BF9/1000)/7.45</f>
        <v>1226.8510067114096</v>
      </c>
      <c r="BG11" s="125">
        <f>(BG7*BG9/1000)/7.45</f>
        <v>1075.0978523489932</v>
      </c>
      <c r="BH11" s="126"/>
      <c r="BI11" s="125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179</v>
      </c>
      <c r="C12" s="31">
        <v>7.7852348993288585</v>
      </c>
      <c r="D12" s="125">
        <v>7.9194630872483218</v>
      </c>
      <c r="E12" s="31">
        <v>8.4563758389261743</v>
      </c>
      <c r="F12" s="125">
        <v>8.4563758389261743</v>
      </c>
      <c r="G12" s="31"/>
      <c r="H12" s="31">
        <v>8.5906040268456376</v>
      </c>
      <c r="I12" s="125">
        <v>9.5302013422818792</v>
      </c>
      <c r="J12" s="31">
        <v>1.8791946308724832</v>
      </c>
      <c r="K12" s="125">
        <v>2.5503355704697985</v>
      </c>
      <c r="L12" s="31"/>
      <c r="M12" s="31">
        <v>2.6845637583892619</v>
      </c>
      <c r="N12" s="125">
        <v>2.6845637583892619</v>
      </c>
      <c r="O12" s="31">
        <v>3.8926174496644292</v>
      </c>
      <c r="P12" s="125">
        <v>4.9664429530201337</v>
      </c>
      <c r="Q12" s="31"/>
      <c r="R12" s="126">
        <v>5.2348993288590604</v>
      </c>
      <c r="S12" s="125">
        <v>5.6375838926174495</v>
      </c>
      <c r="T12" s="126">
        <v>6.174496644295302</v>
      </c>
      <c r="U12" s="125">
        <v>5.1006711409395971</v>
      </c>
      <c r="V12" s="31"/>
      <c r="W12" s="126">
        <v>4.2953020134228188</v>
      </c>
      <c r="X12" s="125">
        <v>4.6174496644295298</v>
      </c>
      <c r="Y12" s="126">
        <v>5.5033557046979862</v>
      </c>
      <c r="Z12" s="125">
        <v>2.8187919463087248</v>
      </c>
      <c r="AA12" s="31"/>
      <c r="AB12" s="126">
        <v>2.9530201342281877</v>
      </c>
      <c r="AC12" s="125">
        <v>3.087248322147651</v>
      </c>
      <c r="AD12" s="126">
        <v>0.93959731543624159</v>
      </c>
      <c r="AE12" s="125">
        <v>0.93959731543624159</v>
      </c>
      <c r="AF12" s="31"/>
      <c r="AG12" s="126">
        <v>0.67114093959731547</v>
      </c>
      <c r="AH12" s="125">
        <v>0.80536912751677847</v>
      </c>
      <c r="AI12" s="126">
        <v>0.80536912751677847</v>
      </c>
      <c r="AJ12" s="125">
        <v>0.93959731543624159</v>
      </c>
      <c r="AK12" s="31"/>
      <c r="AL12" s="126">
        <v>0.80536912751677847</v>
      </c>
      <c r="AM12" s="125">
        <v>0.80536912751677847</v>
      </c>
      <c r="AN12" s="126">
        <v>0.93959731543624159</v>
      </c>
      <c r="AO12" s="125">
        <v>0.93959731543624159</v>
      </c>
      <c r="AP12" s="31"/>
      <c r="AQ12" s="126">
        <v>1.0738255033557047</v>
      </c>
      <c r="AR12" s="125">
        <v>0.93959731543624159</v>
      </c>
      <c r="AS12" s="126">
        <v>0.93959731543624159</v>
      </c>
      <c r="AT12" s="125">
        <v>0.93959731543624159</v>
      </c>
      <c r="AU12" s="31"/>
      <c r="AV12" s="126">
        <v>0.80536912751677847</v>
      </c>
      <c r="AW12" s="125">
        <v>0.80536912751677847</v>
      </c>
      <c r="AX12" s="126">
        <v>0.80536912751677847</v>
      </c>
      <c r="AY12" s="125">
        <v>0.80536912751677847</v>
      </c>
      <c r="AZ12" s="31"/>
      <c r="BA12" s="126">
        <v>0.93959731543624159</v>
      </c>
      <c r="BB12" s="125">
        <v>0.93959731543624159</v>
      </c>
      <c r="BC12" s="126">
        <v>0.93959731543624159</v>
      </c>
      <c r="BD12" s="125">
        <v>0.9</v>
      </c>
      <c r="BE12" s="31"/>
      <c r="BF12" s="126">
        <v>0.9</v>
      </c>
      <c r="BG12" s="125">
        <v>0</v>
      </c>
      <c r="BH12" s="126"/>
      <c r="BI12" s="125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180</v>
      </c>
      <c r="C13" s="31">
        <f>-' Financial Highlights'!C30</f>
        <v>45.234899328859058</v>
      </c>
      <c r="D13" s="125">
        <v>75.033557046979865</v>
      </c>
      <c r="E13" s="31">
        <v>115.16778523489933</v>
      </c>
      <c r="F13" s="125">
        <v>105.63758389261744</v>
      </c>
      <c r="G13" s="31"/>
      <c r="H13" s="31">
        <f>-' Financial Highlights'!I30</f>
        <v>157.85234899328859</v>
      </c>
      <c r="I13" s="125">
        <v>163.89261744966441</v>
      </c>
      <c r="J13" s="31">
        <v>156.77852348993289</v>
      </c>
      <c r="K13" s="125">
        <v>137.31543624161074</v>
      </c>
      <c r="L13" s="31"/>
      <c r="M13" s="31">
        <v>266.71140939597313</v>
      </c>
      <c r="N13" s="125">
        <v>308.72483221476512</v>
      </c>
      <c r="O13" s="31">
        <v>309.53020134228188</v>
      </c>
      <c r="P13" s="125">
        <v>267.78523489932883</v>
      </c>
      <c r="Q13" s="31"/>
      <c r="R13" s="126">
        <v>297.31543624161071</v>
      </c>
      <c r="S13" s="125">
        <v>379.19463087248323</v>
      </c>
      <c r="T13" s="126">
        <v>378.65771812080538</v>
      </c>
      <c r="U13" s="125">
        <v>303.3557046979866</v>
      </c>
      <c r="V13" s="31"/>
      <c r="W13" s="126">
        <v>306.4832214765101</v>
      </c>
      <c r="X13" s="125">
        <v>347.28859060402687</v>
      </c>
      <c r="Y13" s="126">
        <v>359.86577181208054</v>
      </c>
      <c r="Z13" s="125">
        <v>365.7718120805369</v>
      </c>
      <c r="AA13" s="31"/>
      <c r="AB13" s="126">
        <v>455.57046979865771</v>
      </c>
      <c r="AC13" s="125">
        <v>508.72483221476512</v>
      </c>
      <c r="AD13" s="126">
        <v>556.24161073825508</v>
      </c>
      <c r="AE13" s="125">
        <v>551.00671140939596</v>
      </c>
      <c r="AF13" s="31"/>
      <c r="AG13" s="126">
        <v>647.11409395973158</v>
      </c>
      <c r="AH13" s="125">
        <v>663.08724832214762</v>
      </c>
      <c r="AI13" s="126">
        <v>640.40268456375838</v>
      </c>
      <c r="AJ13" s="125">
        <v>594.49664429530196</v>
      </c>
      <c r="AK13" s="31"/>
      <c r="AL13" s="126">
        <v>602.81879194630869</v>
      </c>
      <c r="AM13" s="125">
        <f>(-' Financial Highlights'!AT30)</f>
        <v>361.34228187919462</v>
      </c>
      <c r="AN13" s="126">
        <f>(-' Financial Highlights'!AU30)</f>
        <v>369.26174496644296</v>
      </c>
      <c r="AO13" s="125">
        <f>(-' Financial Highlights'!AV30)</f>
        <v>256.24161073825502</v>
      </c>
      <c r="AP13" s="31"/>
      <c r="AQ13" s="126">
        <v>372.6174496644295</v>
      </c>
      <c r="AR13" s="125">
        <v>381.07382550335569</v>
      </c>
      <c r="AS13" s="126">
        <v>369.53020134228188</v>
      </c>
      <c r="AT13" s="125">
        <v>283.3557046979866</v>
      </c>
      <c r="AU13" s="31"/>
      <c r="AV13" s="126">
        <v>268.32214765100673</v>
      </c>
      <c r="AW13" s="125">
        <v>269.53020134228188</v>
      </c>
      <c r="AX13" s="126">
        <v>284.42953020134229</v>
      </c>
      <c r="AY13" s="125">
        <v>152.34899328859061</v>
      </c>
      <c r="AZ13" s="31"/>
      <c r="BA13" s="126">
        <v>177.4496644295302</v>
      </c>
      <c r="BB13" s="125">
        <v>193.02013422818791</v>
      </c>
      <c r="BC13" s="126">
        <v>167.51677852348993</v>
      </c>
      <c r="BD13" s="125">
        <v>88.9</v>
      </c>
      <c r="BE13" s="31"/>
      <c r="BF13" s="126">
        <v>158.9</v>
      </c>
      <c r="BG13" s="125">
        <v>188.2</v>
      </c>
      <c r="BH13" s="126"/>
      <c r="BI13" s="125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85" customFormat="1">
      <c r="A14" s="85" t="s">
        <v>185</v>
      </c>
      <c r="C14" s="198">
        <f>SUM(C11:C13)</f>
        <v>704.16107382550331</v>
      </c>
      <c r="D14" s="199">
        <f>SUM(D11:D13)</f>
        <v>836.04026845637577</v>
      </c>
      <c r="E14" s="198">
        <f>SUM(E11:E13)</f>
        <v>946.37449664429528</v>
      </c>
      <c r="F14" s="199">
        <f>SUM(F11:F13)</f>
        <v>1021.6315436241609</v>
      </c>
      <c r="G14" s="198"/>
      <c r="H14" s="198">
        <f>SUM(H11:H13)</f>
        <v>1388.0073825503355</v>
      </c>
      <c r="I14" s="199">
        <f>SUM(I11:I13)</f>
        <v>1324.0875167785232</v>
      </c>
      <c r="J14" s="198">
        <f>SUM(J11:J13)</f>
        <v>1548.2582550335569</v>
      </c>
      <c r="K14" s="199">
        <f>SUM(K11:K13)</f>
        <v>1721.2437583892618</v>
      </c>
      <c r="L14" s="198"/>
      <c r="M14" s="198">
        <f>SUM(M11:M13)</f>
        <v>1677.8598657718121</v>
      </c>
      <c r="N14" s="199">
        <f>SUM(N11:N13)</f>
        <v>2047.5758389261746</v>
      </c>
      <c r="O14" s="198">
        <f>SUM(O11:O13)</f>
        <v>2166.5986577181206</v>
      </c>
      <c r="P14" s="199">
        <f>SUM(P11:P13)</f>
        <v>1724.3006711409396</v>
      </c>
      <c r="Q14" s="198"/>
      <c r="R14" s="219">
        <f>SUM(R11:R13)</f>
        <v>1378.5476510067115</v>
      </c>
      <c r="S14" s="199">
        <f>SUM(S11:S13)</f>
        <v>1600.1503355704699</v>
      </c>
      <c r="T14" s="219">
        <f>SUM(T11:T13)</f>
        <v>1162.255033557047</v>
      </c>
      <c r="U14" s="199">
        <f>SUM(U11:U13)</f>
        <v>644.81073825503358</v>
      </c>
      <c r="V14" s="198"/>
      <c r="W14" s="219">
        <f>SUM(W11:W13)</f>
        <v>618.57449664429532</v>
      </c>
      <c r="X14" s="199">
        <f>SUM(X11:X13)</f>
        <v>919.10738255033539</v>
      </c>
      <c r="Y14" s="219">
        <f>SUM(Y11:Y13)</f>
        <v>1307.7959731543624</v>
      </c>
      <c r="Z14" s="199">
        <f>SUM(Z11:Z13)</f>
        <v>1291.9785234899327</v>
      </c>
      <c r="AA14" s="198"/>
      <c r="AB14" s="219">
        <f>SUM(AB11:AB13)</f>
        <v>1426.4993288590604</v>
      </c>
      <c r="AC14" s="199">
        <f>SUM(AC11:AC13)</f>
        <v>1382.0287248322147</v>
      </c>
      <c r="AD14" s="219">
        <f>SUM(AD11:AD13)</f>
        <v>1414.6939597315436</v>
      </c>
      <c r="AE14" s="199">
        <f>SUM(AE11:AE13)</f>
        <v>1495.2103355704699</v>
      </c>
      <c r="AF14" s="198"/>
      <c r="AG14" s="219">
        <f>SUM(AG11:AG13)</f>
        <v>1629.1424410738255</v>
      </c>
      <c r="AH14" s="199">
        <f>SUM(AH11:AH13)</f>
        <v>1708.768089395973</v>
      </c>
      <c r="AI14" s="219">
        <f>SUM(AI11:AI13)</f>
        <v>1282.7425379865772</v>
      </c>
      <c r="AJ14" s="199">
        <f>SUM(AJ11:AJ13)</f>
        <v>1202.0356797315435</v>
      </c>
      <c r="AK14" s="198"/>
      <c r="AL14" s="219">
        <f>SUM(AL11:AL13)</f>
        <v>1415.4209463087248</v>
      </c>
      <c r="AM14" s="199">
        <f>SUM(AM11:AM13)</f>
        <v>969.4080536912752</v>
      </c>
      <c r="AN14" s="219">
        <f>SUM(AN11:AN13)</f>
        <v>1015.8150335570469</v>
      </c>
      <c r="AO14" s="199">
        <f>SUM(AO11:AO13)</f>
        <v>909.18711409395974</v>
      </c>
      <c r="AP14" s="198"/>
      <c r="AQ14" s="219">
        <f>SUM(AQ11:AQ13)</f>
        <v>1065.2681879194629</v>
      </c>
      <c r="AR14" s="199">
        <f>SUM(AR11:AR13)</f>
        <v>1047.9763758389263</v>
      </c>
      <c r="AS14" s="219">
        <f>SUM(AS11:AS13)</f>
        <v>1247.7479194630873</v>
      </c>
      <c r="AT14" s="199">
        <f>SUM(AT11:AT13)</f>
        <v>1142.3629530201342</v>
      </c>
      <c r="AU14" s="198"/>
      <c r="AV14" s="219">
        <f>SUM(AV11:AV13)</f>
        <v>1274.6440268456377</v>
      </c>
      <c r="AW14" s="199">
        <f>SUM(AW11:AW13)</f>
        <v>1467.9889932885908</v>
      </c>
      <c r="AX14" s="219">
        <f>SUM(AX11:AX13)</f>
        <v>1325.9765100671138</v>
      </c>
      <c r="AY14" s="199">
        <f>SUM(AY11:AY13)</f>
        <v>1216.3119463087248</v>
      </c>
      <c r="AZ14" s="198"/>
      <c r="BA14" s="219">
        <f>SUM(BA11:BA13)</f>
        <v>1618.4570469798657</v>
      </c>
      <c r="BB14" s="199">
        <f>SUM(BB11:BB13)</f>
        <v>1436.6249664429531</v>
      </c>
      <c r="BC14" s="219">
        <f>SUM(BC11:BC13)</f>
        <v>1307.5661744966442</v>
      </c>
      <c r="BD14" s="199">
        <f>SUM(BD11:BD13)</f>
        <v>1245.09033557047</v>
      </c>
      <c r="BE14" s="198"/>
      <c r="BF14" s="219">
        <f>SUM(BF11:BF13)</f>
        <v>1386.6510067114098</v>
      </c>
      <c r="BG14" s="219">
        <f>SUM(BG11:BG13)</f>
        <v>1263.2978523489933</v>
      </c>
      <c r="BH14" s="219"/>
      <c r="BI14" s="199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</row>
    <row r="15" spans="1:76" s="89" customFormat="1">
      <c r="C15" s="212"/>
      <c r="D15" s="216"/>
      <c r="E15" s="212"/>
      <c r="F15" s="216"/>
      <c r="G15" s="212"/>
      <c r="H15" s="212"/>
      <c r="I15" s="216"/>
      <c r="J15" s="212"/>
      <c r="K15" s="216"/>
      <c r="L15" s="212"/>
      <c r="M15" s="212"/>
      <c r="N15" s="216"/>
      <c r="O15" s="212"/>
      <c r="P15" s="216"/>
      <c r="Q15" s="212"/>
      <c r="R15" s="215"/>
      <c r="S15" s="216"/>
      <c r="T15" s="215"/>
      <c r="U15" s="216"/>
      <c r="V15" s="212"/>
      <c r="W15" s="215"/>
      <c r="X15" s="216"/>
      <c r="Y15" s="215"/>
      <c r="Z15" s="216"/>
      <c r="AA15" s="212"/>
      <c r="AB15" s="215"/>
      <c r="AC15" s="216"/>
      <c r="AD15" s="215"/>
      <c r="AE15" s="216"/>
      <c r="AF15" s="212"/>
      <c r="AG15" s="215"/>
      <c r="AH15" s="216"/>
      <c r="AI15" s="215"/>
      <c r="AJ15" s="216"/>
      <c r="AK15" s="212"/>
      <c r="AL15" s="215"/>
      <c r="AM15" s="216"/>
      <c r="AN15" s="215"/>
      <c r="AO15" s="216"/>
      <c r="AP15" s="212"/>
      <c r="AQ15" s="215"/>
      <c r="AR15" s="216"/>
      <c r="AS15" s="215"/>
      <c r="AT15" s="216"/>
      <c r="AU15" s="212"/>
      <c r="AV15" s="215"/>
      <c r="AW15" s="216"/>
      <c r="AX15" s="215"/>
      <c r="AY15" s="216"/>
      <c r="AZ15" s="212"/>
      <c r="BA15" s="215"/>
      <c r="BB15" s="216"/>
      <c r="BC15" s="215"/>
      <c r="BD15" s="216"/>
      <c r="BE15" s="212"/>
      <c r="BF15" s="215"/>
      <c r="BG15" s="216"/>
      <c r="BH15" s="215"/>
      <c r="BI15" s="216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</row>
    <row r="16" spans="1:76">
      <c r="A16" s="2" t="s">
        <v>41</v>
      </c>
      <c r="C16" s="31">
        <v>89.932885906040269</v>
      </c>
      <c r="D16" s="125">
        <v>93.288590604026837</v>
      </c>
      <c r="E16" s="31">
        <v>84.295302013422813</v>
      </c>
      <c r="F16" s="125">
        <v>95.704697986577173</v>
      </c>
      <c r="G16" s="31"/>
      <c r="H16" s="31">
        <f>'Segment Data'!D38+'Segment Data'!E38+'Segment Data'!F38+'Segment Data'!I38</f>
        <v>102.5503355704698</v>
      </c>
      <c r="I16" s="125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125">
        <f>'Segment Data'!M38</f>
        <v>137.18120805369128</v>
      </c>
      <c r="L16" s="31"/>
      <c r="M16" s="31">
        <v>147.91946308724832</v>
      </c>
      <c r="N16" s="125">
        <v>151.14093959731542</v>
      </c>
      <c r="O16" s="31">
        <v>161.61073825503357</v>
      </c>
      <c r="P16" s="125">
        <v>192.34899328859061</v>
      </c>
      <c r="Q16" s="31"/>
      <c r="R16" s="31">
        <v>198.92617449664428</v>
      </c>
      <c r="S16" s="125">
        <v>207.51677852348993</v>
      </c>
      <c r="T16" s="31">
        <v>206.97986577181209</v>
      </c>
      <c r="U16" s="125">
        <v>163.48993288590603</v>
      </c>
      <c r="V16" s="31"/>
      <c r="W16" s="31">
        <v>139.59731543624162</v>
      </c>
      <c r="X16" s="125">
        <v>109.53020134228187</v>
      </c>
      <c r="Y16" s="31">
        <v>95.570469798657712</v>
      </c>
      <c r="Z16" s="125">
        <v>105.1006711409396</v>
      </c>
      <c r="AA16" s="31"/>
      <c r="AB16" s="31">
        <v>116.64429530201342</v>
      </c>
      <c r="AC16" s="125">
        <v>119.46308724832214</v>
      </c>
      <c r="AD16" s="31">
        <v>122.81879194630872</v>
      </c>
      <c r="AE16" s="125">
        <v>120.67114093959731</v>
      </c>
      <c r="AF16" s="31"/>
      <c r="AG16" s="31">
        <v>121.07382550335571</v>
      </c>
      <c r="AH16" s="125">
        <v>114.63087248322148</v>
      </c>
      <c r="AI16" s="31">
        <v>122.95302013422818</v>
      </c>
      <c r="AJ16" s="125">
        <v>134.63087248322148</v>
      </c>
      <c r="AK16" s="31"/>
      <c r="AL16" s="126">
        <v>136.24161073825502</v>
      </c>
      <c r="AM16" s="125">
        <v>138.79194630872482</v>
      </c>
      <c r="AN16" s="31">
        <v>128.99328859060401</v>
      </c>
      <c r="AO16" s="125">
        <v>135.43624161073825</v>
      </c>
      <c r="AP16" s="31"/>
      <c r="AQ16" s="126">
        <v>133.95973154362414</v>
      </c>
      <c r="AR16" s="125">
        <v>140.67114093959731</v>
      </c>
      <c r="AS16" s="31">
        <v>140.93959731543623</v>
      </c>
      <c r="AT16" s="125">
        <v>148.05369127516778</v>
      </c>
      <c r="AU16" s="31"/>
      <c r="AV16" s="126">
        <v>158.65771812080536</v>
      </c>
      <c r="AW16" s="125">
        <v>151.00671140939596</v>
      </c>
      <c r="AX16" s="126">
        <v>148.99328859060401</v>
      </c>
      <c r="AY16" s="125">
        <v>142.41610738255034</v>
      </c>
      <c r="AZ16" s="31"/>
      <c r="BA16" s="126">
        <f>+'Segment Data'!BK38+'Segment Data'!BH38+'Segment Data'!BG38+'Segment Data'!BF38</f>
        <v>135.57046979865771</v>
      </c>
      <c r="BB16" s="125">
        <f>+'Segment Data'!BL38+'Segment Data'!BK38+'Segment Data'!BH38+'Segment Data'!BG38</f>
        <v>160.40268456375838</v>
      </c>
      <c r="BC16" s="126">
        <f>+'Segment Data'!BM38+'Segment Data'!BL38+'Segment Data'!BK38+'Segment Data'!BH38</f>
        <v>162.28187919463087</v>
      </c>
      <c r="BD16" s="125">
        <f>+'Segment Data'!BN38+'Segment Data'!BM38+'Segment Data'!BL38+'Segment Data'!BK38</f>
        <v>152.03154362416106</v>
      </c>
      <c r="BE16" s="31"/>
      <c r="BF16" s="126">
        <f>+'Segment Data'!BQ38+'Segment Data'!BN38+'Segment Data'!BM38+'Segment Data'!BL38</f>
        <v>155.04663758389262</v>
      </c>
      <c r="BG16" s="125">
        <f>+'Segment Data'!BR38+'Segment Data'!BQ38+'Segment Data'!BN38+'Segment Data'!BM38</f>
        <v>151.21576510067115</v>
      </c>
      <c r="BH16" s="126"/>
      <c r="BI16" s="125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>
      <c r="A17" s="102" t="s">
        <v>108</v>
      </c>
      <c r="C17" s="31"/>
      <c r="D17" s="125"/>
      <c r="E17" s="31"/>
      <c r="F17" s="125"/>
      <c r="G17" s="31"/>
      <c r="H17" s="31"/>
      <c r="I17" s="125"/>
      <c r="J17" s="31"/>
      <c r="K17" s="125"/>
      <c r="L17" s="31"/>
      <c r="M17" s="31"/>
      <c r="N17" s="125"/>
      <c r="O17" s="31"/>
      <c r="P17" s="125"/>
      <c r="Q17" s="31"/>
      <c r="R17" s="126"/>
      <c r="S17" s="125"/>
      <c r="T17" s="126"/>
      <c r="U17" s="125"/>
      <c r="V17" s="31"/>
      <c r="W17" s="126"/>
      <c r="X17" s="125"/>
      <c r="Y17" s="126"/>
      <c r="Z17" s="125"/>
      <c r="AA17" s="31"/>
      <c r="AB17" s="126"/>
      <c r="AC17" s="125"/>
      <c r="AD17" s="126"/>
      <c r="AE17" s="125"/>
      <c r="AF17" s="31"/>
      <c r="AG17" s="126"/>
      <c r="AH17" s="125"/>
      <c r="AI17" s="126"/>
      <c r="AJ17" s="125"/>
      <c r="AK17" s="31"/>
      <c r="AL17" s="126"/>
      <c r="AM17" s="125"/>
      <c r="AN17" s="126"/>
      <c r="AO17" s="125"/>
      <c r="AP17" s="31"/>
      <c r="AQ17" s="126"/>
      <c r="AR17" s="125"/>
      <c r="AS17" s="126"/>
      <c r="AT17" s="125"/>
      <c r="AU17" s="31"/>
      <c r="AV17" s="126"/>
      <c r="AW17" s="125"/>
      <c r="AX17" s="126"/>
      <c r="AY17" s="125"/>
      <c r="AZ17" s="31"/>
      <c r="BA17" s="126"/>
      <c r="BB17" s="125"/>
      <c r="BC17" s="126"/>
      <c r="BD17" s="125"/>
      <c r="BE17" s="31"/>
      <c r="BF17" s="126"/>
      <c r="BG17" s="125"/>
      <c r="BH17" s="126"/>
      <c r="BI17" s="125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165</v>
      </c>
      <c r="C18" s="31"/>
      <c r="D18" s="125"/>
      <c r="E18" s="31"/>
      <c r="F18" s="125"/>
      <c r="G18" s="31"/>
      <c r="H18" s="31"/>
      <c r="I18" s="125"/>
      <c r="J18" s="31"/>
      <c r="K18" s="125"/>
      <c r="L18" s="31"/>
      <c r="M18" s="31"/>
      <c r="N18" s="125"/>
      <c r="O18" s="31"/>
      <c r="P18" s="125"/>
      <c r="Q18" s="31"/>
      <c r="R18" s="126"/>
      <c r="S18" s="125"/>
      <c r="T18" s="126"/>
      <c r="U18" s="125"/>
      <c r="V18" s="31"/>
      <c r="W18" s="126"/>
      <c r="X18" s="125"/>
      <c r="Y18" s="126"/>
      <c r="Z18" s="125"/>
      <c r="AA18" s="31"/>
      <c r="AB18" s="126"/>
      <c r="AC18" s="125"/>
      <c r="AD18" s="126"/>
      <c r="AE18" s="125"/>
      <c r="AF18" s="31"/>
      <c r="AG18" s="126"/>
      <c r="AH18" s="125"/>
      <c r="AI18" s="126"/>
      <c r="AJ18" s="125"/>
      <c r="AK18" s="31"/>
      <c r="AL18" s="126"/>
      <c r="AM18" s="125"/>
      <c r="AN18" s="126"/>
      <c r="AO18" s="125"/>
      <c r="AP18" s="31"/>
      <c r="AQ18" s="126"/>
      <c r="AR18" s="125"/>
      <c r="AS18" s="126"/>
      <c r="AT18" s="125"/>
      <c r="AU18" s="31"/>
      <c r="AV18" s="126"/>
      <c r="AW18" s="125"/>
      <c r="AX18" s="126"/>
      <c r="AY18" s="125"/>
      <c r="AZ18" s="31"/>
      <c r="BA18" s="126"/>
      <c r="BB18" s="125"/>
      <c r="BC18" s="126"/>
      <c r="BD18" s="125"/>
      <c r="BE18" s="31"/>
      <c r="BF18" s="126"/>
      <c r="BG18" s="125"/>
      <c r="BH18" s="126"/>
      <c r="BI18" s="125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42</v>
      </c>
      <c r="C19" s="31">
        <v>-25.63758389261745</v>
      </c>
      <c r="D19" s="125">
        <v>-25.63758389261745</v>
      </c>
      <c r="E19" s="31">
        <v>-7.1140939597315436</v>
      </c>
      <c r="F19" s="125">
        <v>-5.2348993288590604</v>
      </c>
      <c r="G19" s="31"/>
      <c r="H19" s="31">
        <v>-5.2348993288590604</v>
      </c>
      <c r="I19" s="125">
        <f>(-109-25)/7.45</f>
        <v>-17.986577181208052</v>
      </c>
      <c r="J19" s="31">
        <f>(-113-25)/7.45</f>
        <v>-18.523489932885905</v>
      </c>
      <c r="K19" s="125">
        <v>-14.496644295302014</v>
      </c>
      <c r="L19" s="31"/>
      <c r="M19" s="31">
        <v>-14.496644295302014</v>
      </c>
      <c r="N19" s="125">
        <v>0</v>
      </c>
      <c r="O19" s="31">
        <v>0</v>
      </c>
      <c r="P19" s="125">
        <v>-9.3959731543624159</v>
      </c>
      <c r="Q19" s="31"/>
      <c r="R19" s="126">
        <v>-9.3959731543624159</v>
      </c>
      <c r="S19" s="125">
        <v>-9.3959731543624159</v>
      </c>
      <c r="T19" s="126">
        <v>-9.3959731543624159</v>
      </c>
      <c r="U19" s="125">
        <v>0</v>
      </c>
      <c r="V19" s="31"/>
      <c r="W19" s="126"/>
      <c r="X19" s="125"/>
      <c r="Y19" s="126"/>
      <c r="Z19" s="125"/>
      <c r="AA19" s="31"/>
      <c r="AB19" s="126"/>
      <c r="AC19" s="125"/>
      <c r="AD19" s="126"/>
      <c r="AE19" s="125"/>
      <c r="AF19" s="31"/>
      <c r="AG19" s="126"/>
      <c r="AH19" s="125"/>
      <c r="AI19" s="126"/>
      <c r="AJ19" s="125"/>
      <c r="AK19" s="31"/>
      <c r="AL19" s="126"/>
      <c r="AM19" s="125"/>
      <c r="AN19" s="126"/>
      <c r="AO19" s="125"/>
      <c r="AP19" s="31"/>
      <c r="AQ19" s="126"/>
      <c r="AR19" s="125"/>
      <c r="AS19" s="126"/>
      <c r="AT19" s="125"/>
      <c r="AU19" s="31"/>
      <c r="AV19" s="126"/>
      <c r="AW19" s="125"/>
      <c r="AX19" s="126"/>
      <c r="AY19" s="125"/>
      <c r="AZ19" s="31"/>
      <c r="BA19" s="126"/>
      <c r="BB19" s="125"/>
      <c r="BC19" s="126"/>
      <c r="BD19" s="125"/>
      <c r="BE19" s="31"/>
      <c r="BF19" s="126"/>
      <c r="BG19" s="125"/>
      <c r="BH19" s="126"/>
      <c r="BI19" s="125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43</v>
      </c>
      <c r="C20" s="31">
        <v>3.2214765100671139</v>
      </c>
      <c r="D20" s="125">
        <v>7.9194630872483218</v>
      </c>
      <c r="E20" s="31">
        <v>7.9194630872483218</v>
      </c>
      <c r="F20" s="125">
        <v>4.6979865771812079</v>
      </c>
      <c r="G20" s="31"/>
      <c r="H20" s="31">
        <v>4.6979865771812079</v>
      </c>
      <c r="I20" s="125">
        <v>0</v>
      </c>
      <c r="J20" s="31">
        <v>0</v>
      </c>
      <c r="K20" s="125">
        <v>0</v>
      </c>
      <c r="L20" s="31"/>
      <c r="M20" s="31"/>
      <c r="N20" s="125"/>
      <c r="O20" s="31"/>
      <c r="P20" s="125"/>
      <c r="Q20" s="31"/>
      <c r="R20" s="126">
        <v>0</v>
      </c>
      <c r="S20" s="125">
        <v>0</v>
      </c>
      <c r="T20" s="126">
        <v>4.1610738255033555</v>
      </c>
      <c r="U20" s="125">
        <v>11.006711409395972</v>
      </c>
      <c r="V20" s="31"/>
      <c r="W20" s="126">
        <v>13.691275167785234</v>
      </c>
      <c r="X20" s="125">
        <v>21.34228187919463</v>
      </c>
      <c r="Y20" s="126">
        <v>22.281879194630871</v>
      </c>
      <c r="Z20" s="125">
        <v>20.402684563758388</v>
      </c>
      <c r="AA20" s="31"/>
      <c r="AB20" s="126">
        <f>(152-20+22)/7.45</f>
        <v>20.671140939597315</v>
      </c>
      <c r="AC20" s="125">
        <v>16.241610738255034</v>
      </c>
      <c r="AD20" s="126">
        <v>14.765100671140939</v>
      </c>
      <c r="AE20" s="125">
        <v>11.543624161073826</v>
      </c>
      <c r="AF20" s="31"/>
      <c r="AG20" s="126">
        <v>9.2617449664429525</v>
      </c>
      <c r="AH20" s="125">
        <v>7.2483221476510069</v>
      </c>
      <c r="AI20" s="126">
        <v>4.1610738255033555</v>
      </c>
      <c r="AJ20" s="125">
        <v>4.4295302013422821</v>
      </c>
      <c r="AK20" s="31"/>
      <c r="AL20" s="126">
        <v>3.8926174496644292</v>
      </c>
      <c r="AM20" s="125">
        <v>4.1610738255033555</v>
      </c>
      <c r="AN20" s="126">
        <v>5.2348993288590604</v>
      </c>
      <c r="AO20" s="125">
        <v>4.0268456375838921</v>
      </c>
      <c r="AP20" s="31"/>
      <c r="AQ20" s="126">
        <v>3.7583892617449663</v>
      </c>
      <c r="AR20" s="125">
        <v>2.6845637583892619</v>
      </c>
      <c r="AS20" s="126">
        <v>3.087248322147651</v>
      </c>
      <c r="AT20" s="125">
        <v>-2.4161073825503356</v>
      </c>
      <c r="AU20" s="31"/>
      <c r="AV20" s="126">
        <v>4.9664429530201337</v>
      </c>
      <c r="AW20" s="125">
        <f>(74+64)/7.45</f>
        <v>18.523489932885905</v>
      </c>
      <c r="AX20" s="126">
        <v>22.416107382550337</v>
      </c>
      <c r="AY20" s="125">
        <v>40.805369127516776</v>
      </c>
      <c r="AZ20" s="31"/>
      <c r="BA20" s="126">
        <v>38.65771812080537</v>
      </c>
      <c r="BB20" s="125">
        <v>29.530201342281877</v>
      </c>
      <c r="BC20" s="126">
        <v>28.456375838926174</v>
      </c>
      <c r="BD20" s="125">
        <v>23.2</v>
      </c>
      <c r="BE20" s="31"/>
      <c r="BF20" s="126">
        <v>20.7</v>
      </c>
      <c r="BG20" s="125">
        <v>18.100000000000001</v>
      </c>
      <c r="BH20" s="126"/>
      <c r="BI20" s="125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166</v>
      </c>
      <c r="C21" s="31">
        <v>3.3557046979865772</v>
      </c>
      <c r="D21" s="125">
        <v>0</v>
      </c>
      <c r="E21" s="31">
        <v>0</v>
      </c>
      <c r="F21" s="125">
        <v>0</v>
      </c>
      <c r="G21" s="31"/>
      <c r="H21" s="31"/>
      <c r="I21" s="125"/>
      <c r="J21" s="31"/>
      <c r="K21" s="125"/>
      <c r="L21" s="31"/>
      <c r="M21" s="31">
        <v>13.422818791946309</v>
      </c>
      <c r="N21" s="125">
        <v>8.0536912751677843</v>
      </c>
      <c r="O21" s="126">
        <v>4.0268456375838921</v>
      </c>
      <c r="P21" s="125"/>
      <c r="Q21" s="31"/>
      <c r="R21" s="126"/>
      <c r="S21" s="125"/>
      <c r="T21" s="126"/>
      <c r="U21" s="125"/>
      <c r="V21" s="31"/>
      <c r="W21" s="126"/>
      <c r="X21" s="125"/>
      <c r="Y21" s="126"/>
      <c r="Z21" s="125"/>
      <c r="AA21" s="31"/>
      <c r="AB21" s="126"/>
      <c r="AC21" s="125"/>
      <c r="AD21" s="126"/>
      <c r="AE21" s="125"/>
      <c r="AF21" s="31"/>
      <c r="AG21" s="126"/>
      <c r="AH21" s="125"/>
      <c r="AI21" s="126"/>
      <c r="AJ21" s="125"/>
      <c r="AK21" s="31"/>
      <c r="AL21" s="126"/>
      <c r="AM21" s="125"/>
      <c r="AN21" s="126"/>
      <c r="AO21" s="125"/>
      <c r="AP21" s="31"/>
      <c r="AQ21" s="126"/>
      <c r="AR21" s="125"/>
      <c r="AS21" s="126"/>
      <c r="AT21" s="125"/>
      <c r="AU21" s="31"/>
      <c r="AV21" s="126"/>
      <c r="AW21" s="125"/>
      <c r="AX21" s="126"/>
      <c r="AY21" s="125"/>
      <c r="AZ21" s="31"/>
      <c r="BA21" s="126"/>
      <c r="BB21" s="125"/>
      <c r="BC21" s="126"/>
      <c r="BD21" s="125"/>
      <c r="BE21" s="31"/>
      <c r="BF21" s="126"/>
      <c r="BG21" s="125"/>
      <c r="BH21" s="126"/>
      <c r="BI21" s="125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156</v>
      </c>
      <c r="C22" s="31"/>
      <c r="D22" s="125"/>
      <c r="E22" s="31"/>
      <c r="F22" s="125"/>
      <c r="G22" s="31"/>
      <c r="H22" s="31"/>
      <c r="I22" s="125"/>
      <c r="J22" s="31"/>
      <c r="K22" s="125"/>
      <c r="L22" s="31"/>
      <c r="M22" s="31"/>
      <c r="N22" s="125"/>
      <c r="O22" s="31"/>
      <c r="P22" s="125"/>
      <c r="Q22" s="31"/>
      <c r="R22" s="126"/>
      <c r="S22" s="125"/>
      <c r="T22" s="126"/>
      <c r="U22" s="125"/>
      <c r="V22" s="31"/>
      <c r="W22" s="126"/>
      <c r="X22" s="125"/>
      <c r="Y22" s="126"/>
      <c r="Z22" s="125"/>
      <c r="AA22" s="31"/>
      <c r="AB22" s="126"/>
      <c r="AC22" s="125"/>
      <c r="AD22" s="126"/>
      <c r="AE22" s="125"/>
      <c r="AF22" s="31"/>
      <c r="AG22" s="126"/>
      <c r="AH22" s="125"/>
      <c r="AI22" s="126"/>
      <c r="AJ22" s="125"/>
      <c r="AK22" s="31"/>
      <c r="AL22" s="126"/>
      <c r="AM22" s="125"/>
      <c r="AN22" s="126"/>
      <c r="AO22" s="125"/>
      <c r="AP22" s="31"/>
      <c r="AQ22" s="126"/>
      <c r="AR22" s="125"/>
      <c r="AS22" s="126">
        <v>0</v>
      </c>
      <c r="AT22" s="125"/>
      <c r="AU22" s="31"/>
      <c r="AV22" s="126">
        <v>-13.020134228187919</v>
      </c>
      <c r="AW22" s="125">
        <v>-13.020134228187919</v>
      </c>
      <c r="AX22" s="126">
        <v>-13.020134228187919</v>
      </c>
      <c r="AY22" s="125">
        <v>-12.885906040268456</v>
      </c>
      <c r="AZ22" s="31"/>
      <c r="BA22" s="126"/>
      <c r="BB22" s="125"/>
      <c r="BC22" s="126"/>
      <c r="BD22" s="125"/>
      <c r="BE22" s="31"/>
      <c r="BF22" s="126"/>
      <c r="BG22" s="125"/>
      <c r="BH22" s="126"/>
      <c r="BI22" s="125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85" customFormat="1">
      <c r="A23" s="85" t="s">
        <v>109</v>
      </c>
      <c r="C23" s="198">
        <f>SUM(C16:C22)</f>
        <v>70.872483221476529</v>
      </c>
      <c r="D23" s="199">
        <f>SUM(D16:D22)</f>
        <v>75.570469798657712</v>
      </c>
      <c r="E23" s="198">
        <f>SUM(E16:E22)</f>
        <v>85.100671140939582</v>
      </c>
      <c r="F23" s="199">
        <f>SUM(F16:F22)</f>
        <v>95.167785234899327</v>
      </c>
      <c r="G23" s="198"/>
      <c r="H23" s="198">
        <f>SUM(H16:H22)</f>
        <v>102.01342281879195</v>
      </c>
      <c r="I23" s="199">
        <f>SUM(I16:I22)</f>
        <v>111.27516778523491</v>
      </c>
      <c r="J23" s="198">
        <f>SUM(J16:J22)</f>
        <v>119.46308724832214</v>
      </c>
      <c r="K23" s="199">
        <f>SUM(K16:K22)</f>
        <v>122.68456375838926</v>
      </c>
      <c r="L23" s="198"/>
      <c r="M23" s="198">
        <f>SUM(M16:M22)</f>
        <v>146.8456375838926</v>
      </c>
      <c r="N23" s="199">
        <f>SUM(N16:N22)</f>
        <v>159.1946308724832</v>
      </c>
      <c r="O23" s="198">
        <f>SUM(O16:O22)</f>
        <v>165.63758389261747</v>
      </c>
      <c r="P23" s="199">
        <f>SUM(P16:P22)</f>
        <v>182.95302013422818</v>
      </c>
      <c r="Q23" s="198"/>
      <c r="R23" s="219">
        <f>SUM(R16:R22)</f>
        <v>189.53020134228186</v>
      </c>
      <c r="S23" s="199">
        <f>SUM(S16:S22)</f>
        <v>198.12080536912751</v>
      </c>
      <c r="T23" s="219">
        <f>SUM(T16:T22)</f>
        <v>201.74496644295303</v>
      </c>
      <c r="U23" s="199">
        <f>SUM(U16:U22)</f>
        <v>174.49664429530199</v>
      </c>
      <c r="V23" s="198"/>
      <c r="W23" s="219">
        <f>SUM(W16:W22)</f>
        <v>153.28859060402684</v>
      </c>
      <c r="X23" s="199">
        <f>SUM(X16:X22)</f>
        <v>130.8724832214765</v>
      </c>
      <c r="Y23" s="219">
        <f>SUM(Y16:Y22)</f>
        <v>117.85234899328859</v>
      </c>
      <c r="Z23" s="199">
        <f>SUM(Z16:Z22)</f>
        <v>125.50335570469798</v>
      </c>
      <c r="AA23" s="198"/>
      <c r="AB23" s="219">
        <f>SUM(AB16:AB22)</f>
        <v>137.31543624161074</v>
      </c>
      <c r="AC23" s="199">
        <f>SUM(AC16:AC22)</f>
        <v>135.70469798657717</v>
      </c>
      <c r="AD23" s="219">
        <f>SUM(AD16:AD22)</f>
        <v>137.58389261744966</v>
      </c>
      <c r="AE23" s="199">
        <f>SUM(AE16:AE22)</f>
        <v>132.21476510067114</v>
      </c>
      <c r="AF23" s="198"/>
      <c r="AG23" s="219">
        <f>SUM(AG16:AG22)</f>
        <v>130.33557046979865</v>
      </c>
      <c r="AH23" s="199">
        <f>SUM(AH16:AH22)</f>
        <v>121.87919463087249</v>
      </c>
      <c r="AI23" s="219">
        <f>SUM(AI16:AI22)</f>
        <v>127.11409395973153</v>
      </c>
      <c r="AJ23" s="199">
        <f>SUM(AJ16:AJ22)</f>
        <v>139.06040268456377</v>
      </c>
      <c r="AK23" s="198"/>
      <c r="AL23" s="219">
        <f>SUM(AL16:AL22)</f>
        <v>140.13422818791946</v>
      </c>
      <c r="AM23" s="199">
        <f>SUM(AM16:AM22)</f>
        <v>142.95302013422818</v>
      </c>
      <c r="AN23" s="219">
        <f>SUM(AN16:AN22)</f>
        <v>134.22818791946307</v>
      </c>
      <c r="AO23" s="199">
        <f>SUM(AO16:AO22)</f>
        <v>139.46308724832215</v>
      </c>
      <c r="AP23" s="198"/>
      <c r="AQ23" s="219">
        <f>SUM(AQ16:AQ22)</f>
        <v>137.7181208053691</v>
      </c>
      <c r="AR23" s="199">
        <f>SUM(AR16:AR22)</f>
        <v>143.35570469798657</v>
      </c>
      <c r="AS23" s="219">
        <f>SUM(AS16:AS22)</f>
        <v>144.02684563758388</v>
      </c>
      <c r="AT23" s="199">
        <f>SUM(AT16:AT22)</f>
        <v>145.63758389261744</v>
      </c>
      <c r="AU23" s="198"/>
      <c r="AV23" s="219">
        <f>SUM(AV16:AV22)</f>
        <v>150.60402684563758</v>
      </c>
      <c r="AW23" s="199">
        <f>SUM(AW16:AW22)</f>
        <v>156.51006711409394</v>
      </c>
      <c r="AX23" s="219">
        <f>SUM(AX16:AX22)</f>
        <v>158.38926174496643</v>
      </c>
      <c r="AY23" s="199">
        <f>SUM(AY16:AY22)</f>
        <v>170.33557046979865</v>
      </c>
      <c r="AZ23" s="198"/>
      <c r="BA23" s="219">
        <f>SUM(BA16:BA22)</f>
        <v>174.2281879194631</v>
      </c>
      <c r="BB23" s="199">
        <f>SUM(BB16:BB22)</f>
        <v>189.93288590604027</v>
      </c>
      <c r="BC23" s="219">
        <f>SUM(BC16:BC22)</f>
        <v>190.73825503355704</v>
      </c>
      <c r="BD23" s="199">
        <f>SUM(BD16:BD22)</f>
        <v>175.23154362416105</v>
      </c>
      <c r="BE23" s="198"/>
      <c r="BF23" s="219">
        <f>SUM(BF16:BF22)</f>
        <v>175.74663758389261</v>
      </c>
      <c r="BG23" s="219">
        <f>SUM(BG16:BG22)</f>
        <v>169.31576510067114</v>
      </c>
      <c r="BH23" s="219"/>
      <c r="BI23" s="199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</row>
    <row r="24" spans="1:76" s="89" customFormat="1">
      <c r="C24" s="212"/>
      <c r="D24" s="216"/>
      <c r="E24" s="212"/>
      <c r="F24" s="216"/>
      <c r="G24" s="212"/>
      <c r="H24" s="212"/>
      <c r="I24" s="216"/>
      <c r="J24" s="212"/>
      <c r="K24" s="216"/>
      <c r="L24" s="212"/>
      <c r="M24" s="212"/>
      <c r="N24" s="216"/>
      <c r="O24" s="212"/>
      <c r="P24" s="216"/>
      <c r="Q24" s="212"/>
      <c r="R24" s="215"/>
      <c r="S24" s="216"/>
      <c r="T24" s="215"/>
      <c r="U24" s="216"/>
      <c r="V24" s="212"/>
      <c r="W24" s="215"/>
      <c r="X24" s="216"/>
      <c r="Y24" s="215"/>
      <c r="Z24" s="216"/>
      <c r="AA24" s="212"/>
      <c r="AB24" s="215"/>
      <c r="AC24" s="216"/>
      <c r="AD24" s="215"/>
      <c r="AE24" s="216"/>
      <c r="AF24" s="212"/>
      <c r="AG24" s="215"/>
      <c r="AH24" s="216"/>
      <c r="AI24" s="215"/>
      <c r="AJ24" s="216"/>
      <c r="AK24" s="212"/>
      <c r="AL24" s="215"/>
      <c r="AM24" s="216"/>
      <c r="AN24" s="215"/>
      <c r="AO24" s="216"/>
      <c r="AP24" s="212"/>
      <c r="AQ24" s="215"/>
      <c r="AR24" s="216"/>
      <c r="AS24" s="215"/>
      <c r="AT24" s="216"/>
      <c r="AU24" s="212"/>
      <c r="AV24" s="215"/>
      <c r="AW24" s="216"/>
      <c r="AX24" s="215"/>
      <c r="AY24" s="216"/>
      <c r="AZ24" s="212"/>
      <c r="BA24" s="215"/>
      <c r="BB24" s="216"/>
      <c r="BC24" s="215"/>
      <c r="BD24" s="216"/>
      <c r="BE24" s="212"/>
      <c r="BF24" s="215"/>
      <c r="BG24" s="216"/>
      <c r="BH24" s="215"/>
      <c r="BI24" s="216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</row>
    <row r="25" spans="1:76">
      <c r="A25" s="2" t="s">
        <v>44</v>
      </c>
      <c r="C25" s="31">
        <f>C23-C26</f>
        <v>78.120805369127538</v>
      </c>
      <c r="D25" s="125">
        <f>D23-D26</f>
        <v>80.939597315436231</v>
      </c>
      <c r="E25" s="31">
        <f>E23-E26</f>
        <v>88.053691275167765</v>
      </c>
      <c r="F25" s="125">
        <f>F23-F26</f>
        <v>96.241610738255034</v>
      </c>
      <c r="G25" s="31"/>
      <c r="H25" s="31">
        <f>H23-H26</f>
        <v>103.75838926174497</v>
      </c>
      <c r="I25" s="125">
        <f>I23-I26</f>
        <v>113.28859060402687</v>
      </c>
      <c r="J25" s="31">
        <f>J23-J26</f>
        <v>122.28187919463086</v>
      </c>
      <c r="K25" s="125">
        <f>K23-K26</f>
        <v>125.1006711409396</v>
      </c>
      <c r="L25" s="31"/>
      <c r="M25" s="31">
        <f>M23-M26</f>
        <v>149.79865771812078</v>
      </c>
      <c r="N25" s="125">
        <f>N23-N26</f>
        <v>161.61073825503354</v>
      </c>
      <c r="O25" s="31">
        <f>O23-O26</f>
        <v>167.51677852348996</v>
      </c>
      <c r="P25" s="125">
        <f>P23-P26</f>
        <v>185.36912751677852</v>
      </c>
      <c r="Q25" s="31"/>
      <c r="R25" s="126">
        <f>R23-R26</f>
        <v>192.48322147651004</v>
      </c>
      <c r="S25" s="125">
        <f>S23-S26</f>
        <v>200.80536912751677</v>
      </c>
      <c r="T25" s="126">
        <f>T23-T26</f>
        <v>204.69798657718121</v>
      </c>
      <c r="U25" s="125">
        <f>U23-U26</f>
        <v>178.52348993288589</v>
      </c>
      <c r="V25" s="31"/>
      <c r="W25" s="126">
        <f>W23-W26</f>
        <v>156.6442953020134</v>
      </c>
      <c r="X25" s="125">
        <f>X23-X26</f>
        <v>135.83892617449663</v>
      </c>
      <c r="Y25" s="126">
        <f>Y23-Y26</f>
        <v>123.35570469798657</v>
      </c>
      <c r="Z25" s="125">
        <f>Z23-Z26</f>
        <v>129.66442953020135</v>
      </c>
      <c r="AA25" s="31"/>
      <c r="AB25" s="126">
        <f>AB23-AB26</f>
        <v>141.20805369127518</v>
      </c>
      <c r="AC25" s="125">
        <f>AC23-AC26</f>
        <v>138.65771812080536</v>
      </c>
      <c r="AD25" s="126">
        <f>AD23-AD26</f>
        <v>139.59731543624162</v>
      </c>
      <c r="AE25" s="125">
        <f>AE23-AE26</f>
        <v>133.69127516778525</v>
      </c>
      <c r="AF25" s="31"/>
      <c r="AG25" s="126">
        <f>AG23-AG26</f>
        <v>132.08053691275168</v>
      </c>
      <c r="AH25" s="125">
        <f>AH23-AH26</f>
        <v>123.08724832214766</v>
      </c>
      <c r="AI25" s="126">
        <f>AI23-AI26</f>
        <v>127.65100671140938</v>
      </c>
      <c r="AJ25" s="125">
        <f>AJ23-AJ26</f>
        <v>138.92617449664431</v>
      </c>
      <c r="AK25" s="31"/>
      <c r="AL25" s="126">
        <f>AL23-AL26</f>
        <v>139.06040268456377</v>
      </c>
      <c r="AM25" s="125">
        <f>AM23-AM26</f>
        <v>142.28187919463087</v>
      </c>
      <c r="AN25" s="126">
        <f>AN23-AN26</f>
        <v>134.09395973154361</v>
      </c>
      <c r="AO25" s="125">
        <f>AO23-AO26</f>
        <v>138.255033557047</v>
      </c>
      <c r="AP25" s="31"/>
      <c r="AQ25" s="126">
        <f>AQ23-AQ26</f>
        <v>137.04697986577179</v>
      </c>
      <c r="AR25" s="125">
        <f>AR23-AR26</f>
        <v>142.28187919463087</v>
      </c>
      <c r="AS25" s="126">
        <f>AS23-AS26</f>
        <v>142.55033557046977</v>
      </c>
      <c r="AT25" s="125">
        <f>AT23-AT26</f>
        <v>144.83221476510067</v>
      </c>
      <c r="AU25" s="31"/>
      <c r="AV25" s="126">
        <f>AV23-AV26</f>
        <v>149.12751677852347</v>
      </c>
      <c r="AW25" s="125">
        <f>AW23-AW26</f>
        <v>155.1677852348993</v>
      </c>
      <c r="AX25" s="126">
        <f>AX23-AX26</f>
        <v>157.18120805369128</v>
      </c>
      <c r="AY25" s="125">
        <f>AY23-AY26</f>
        <v>167.51677852348993</v>
      </c>
      <c r="AZ25" s="31"/>
      <c r="BA25" s="126">
        <f>BA23-BA26</f>
        <v>171.54362416107384</v>
      </c>
      <c r="BB25" s="125">
        <f>BB23-BB26</f>
        <v>188.05369127516778</v>
      </c>
      <c r="BC25" s="126">
        <f>BC23-BC26</f>
        <v>187.11409395973155</v>
      </c>
      <c r="BD25" s="125">
        <f>BD23-BD26</f>
        <v>171.56040268456374</v>
      </c>
      <c r="BE25" s="31"/>
      <c r="BF25" s="126">
        <f>BF23-BF26</f>
        <v>172.24126845637582</v>
      </c>
      <c r="BG25" s="125">
        <f>BG23-BG26</f>
        <v>165.03657046979865</v>
      </c>
      <c r="BH25" s="126"/>
      <c r="BI25" s="125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45</v>
      </c>
      <c r="C26" s="31">
        <v>-7.2483221476510069</v>
      </c>
      <c r="D26" s="125">
        <v>-5.3691275167785237</v>
      </c>
      <c r="E26" s="31">
        <v>-2.9530201342281877</v>
      </c>
      <c r="F26" s="125">
        <v>-1.0738255033557047</v>
      </c>
      <c r="G26" s="31"/>
      <c r="H26" s="31">
        <f>'Segment Data'!D35+'Segment Data'!E35+'Segment Data'!F35+'Segment Data'!I35</f>
        <v>-1.7449664429530203</v>
      </c>
      <c r="I26" s="125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125">
        <f>'Segment Data'!M35</f>
        <v>-2.4161073825503356</v>
      </c>
      <c r="L26" s="31"/>
      <c r="M26" s="31">
        <v>-2.9530201342281877</v>
      </c>
      <c r="N26" s="125">
        <v>-2.4161073825503356</v>
      </c>
      <c r="O26" s="31">
        <v>-1.8791946308724832</v>
      </c>
      <c r="P26" s="125">
        <v>-2.4161073825503356</v>
      </c>
      <c r="Q26" s="31"/>
      <c r="R26" s="31">
        <v>-2.9530201342281877</v>
      </c>
      <c r="S26" s="125">
        <v>-2.6845637583892619</v>
      </c>
      <c r="T26" s="31">
        <v>-2.9530201342281877</v>
      </c>
      <c r="U26" s="125">
        <v>-4.0268456375838921</v>
      </c>
      <c r="V26" s="31"/>
      <c r="W26" s="31">
        <v>-3.3557046979865772</v>
      </c>
      <c r="X26" s="125">
        <v>-4.9664429530201337</v>
      </c>
      <c r="Y26" s="31">
        <v>-5.5033557046979862</v>
      </c>
      <c r="Z26" s="125">
        <v>-4.1610738255033555</v>
      </c>
      <c r="AA26" s="31"/>
      <c r="AB26" s="31">
        <v>-3.8926174496644292</v>
      </c>
      <c r="AC26" s="125">
        <v>-2.9530201342281877</v>
      </c>
      <c r="AD26" s="31">
        <v>-2.0134228187919461</v>
      </c>
      <c r="AE26" s="125">
        <v>-1.4765100671140938</v>
      </c>
      <c r="AF26" s="31"/>
      <c r="AG26" s="31">
        <v>-1.7449664429530201</v>
      </c>
      <c r="AH26" s="125">
        <v>-1.2080536912751678</v>
      </c>
      <c r="AI26" s="31">
        <v>-0.53691275167785235</v>
      </c>
      <c r="AJ26" s="125">
        <v>0.13422818791946309</v>
      </c>
      <c r="AK26" s="31"/>
      <c r="AL26" s="31">
        <f>(+'Segment Data'!AS35+'Segment Data'!AP35+'Segment Data'!AO35+'Segment Data'!AN35)</f>
        <v>1.0738255033557047</v>
      </c>
      <c r="AM26" s="125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125">
        <f>('Segment Data'!AW35)</f>
        <v>1.2080536912751674</v>
      </c>
      <c r="AP26" s="31"/>
      <c r="AQ26" s="126">
        <f>(+'Segment Data'!AY35+'Segment Data'!AV35+'Segment Data'!AU35+'Segment Data'!AT35)</f>
        <v>0.67114093959731524</v>
      </c>
      <c r="AR26" s="125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125">
        <f>('Segment Data'!BC35)</f>
        <v>0.80536912751677847</v>
      </c>
      <c r="AU26" s="31"/>
      <c r="AV26" s="126">
        <f>(+'Segment Data'!BE35+'Segment Data'!BB35+'Segment Data'!BA35+'Segment Data'!AZ35)</f>
        <v>1.476510067114094</v>
      </c>
      <c r="AW26" s="125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125">
        <f>('Segment Data'!BE35+'Segment Data'!BF35+'Segment Data'!BG35+'Segment Data'!BH35)</f>
        <v>2.8187919463087248</v>
      </c>
      <c r="AZ26" s="31"/>
      <c r="BA26" s="126">
        <f>+'Segment Data'!BK35+'Segment Data'!BH35+'Segment Data'!BG35+'Segment Data'!BF35</f>
        <v>2.6845637583892614</v>
      </c>
      <c r="BB26" s="125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125">
        <f>+'Segment Data'!BO22</f>
        <v>3.6711409395973154</v>
      </c>
      <c r="BE26" s="31"/>
      <c r="BF26" s="126">
        <f>+'Segment Data'!BQ22+'Segment Data'!BN22+'Segment Data'!BM22+'Segment Data'!BL22</f>
        <v>3.5053691275167784</v>
      </c>
      <c r="BG26" s="125">
        <f>+'Segment Data'!BR22+'Segment Data'!BQ22+'Segment Data'!BN22+'Segment Data'!BM22</f>
        <v>4.2791946308724835</v>
      </c>
      <c r="BH26" s="31"/>
      <c r="BI26" s="125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85" customFormat="1">
      <c r="A27" s="85" t="s">
        <v>109</v>
      </c>
      <c r="C27" s="198">
        <f>SUM(C25:C26)</f>
        <v>70.872483221476529</v>
      </c>
      <c r="D27" s="199">
        <f>SUM(D25:D26)</f>
        <v>75.570469798657712</v>
      </c>
      <c r="E27" s="198">
        <f>SUM(E25:E26)</f>
        <v>85.100671140939582</v>
      </c>
      <c r="F27" s="199">
        <f>SUM(F25:F26)</f>
        <v>95.167785234899327</v>
      </c>
      <c r="G27" s="198"/>
      <c r="H27" s="198">
        <f>SUM(H25:H26)</f>
        <v>102.01342281879195</v>
      </c>
      <c r="I27" s="199">
        <f>SUM(I25:I26)</f>
        <v>111.27516778523491</v>
      </c>
      <c r="J27" s="198">
        <f>SUM(J25:J26)</f>
        <v>119.46308724832214</v>
      </c>
      <c r="K27" s="199">
        <f>SUM(K25:K26)</f>
        <v>122.68456375838926</v>
      </c>
      <c r="L27" s="198"/>
      <c r="M27" s="198">
        <f>SUM(M25:M26)</f>
        <v>146.8456375838926</v>
      </c>
      <c r="N27" s="199">
        <f>SUM(N25:N26)</f>
        <v>159.1946308724832</v>
      </c>
      <c r="O27" s="198">
        <f>SUM(O25:O26)</f>
        <v>165.63758389261747</v>
      </c>
      <c r="P27" s="199">
        <f>SUM(P25:P26)</f>
        <v>182.95302013422818</v>
      </c>
      <c r="Q27" s="198"/>
      <c r="R27" s="219">
        <f>SUM(R25:R26)</f>
        <v>189.53020134228186</v>
      </c>
      <c r="S27" s="199">
        <f>SUM(S25:S26)</f>
        <v>198.12080536912751</v>
      </c>
      <c r="T27" s="219">
        <f>SUM(T25:T26)</f>
        <v>201.74496644295303</v>
      </c>
      <c r="U27" s="199">
        <f>SUM(U25:U26)</f>
        <v>174.49664429530199</v>
      </c>
      <c r="V27" s="198"/>
      <c r="W27" s="219">
        <f>SUM(W25:W26)</f>
        <v>153.28859060402684</v>
      </c>
      <c r="X27" s="199">
        <f>SUM(X25:X26)</f>
        <v>130.8724832214765</v>
      </c>
      <c r="Y27" s="219">
        <f>SUM(Y25:Y26)</f>
        <v>117.85234899328859</v>
      </c>
      <c r="Z27" s="199">
        <f>SUM(Z25:Z26)</f>
        <v>125.503355704698</v>
      </c>
      <c r="AA27" s="198"/>
      <c r="AB27" s="219">
        <f>SUM(AB25:AB26)</f>
        <v>137.31543624161074</v>
      </c>
      <c r="AC27" s="199">
        <f>SUM(AC25:AC26)</f>
        <v>135.70469798657717</v>
      </c>
      <c r="AD27" s="219">
        <f>SUM(AD25:AD26)</f>
        <v>137.58389261744966</v>
      </c>
      <c r="AE27" s="199">
        <f>SUM(AE25:AE26)</f>
        <v>132.21476510067114</v>
      </c>
      <c r="AF27" s="198"/>
      <c r="AG27" s="219">
        <f>SUM(AG25:AG26)</f>
        <v>130.33557046979865</v>
      </c>
      <c r="AH27" s="199">
        <f>SUM(AH25:AH26)</f>
        <v>121.87919463087249</v>
      </c>
      <c r="AI27" s="219">
        <f>SUM(AI25:AI26)</f>
        <v>127.11409395973153</v>
      </c>
      <c r="AJ27" s="199">
        <f>SUM(AJ25:AJ26)</f>
        <v>139.06040268456377</v>
      </c>
      <c r="AK27" s="198"/>
      <c r="AL27" s="219">
        <f>SUM(AL25:AL26)</f>
        <v>140.13422818791946</v>
      </c>
      <c r="AM27" s="199">
        <f>SUM(AM25:AM26)</f>
        <v>142.95302013422818</v>
      </c>
      <c r="AN27" s="219">
        <f>SUM(AN25:AN26)</f>
        <v>134.22818791946307</v>
      </c>
      <c r="AO27" s="199">
        <f>SUM(AO25:AO26)</f>
        <v>139.46308724832215</v>
      </c>
      <c r="AP27" s="198"/>
      <c r="AQ27" s="219">
        <f>SUM(AQ25:AQ26)</f>
        <v>137.7181208053691</v>
      </c>
      <c r="AR27" s="199">
        <f>SUM(AR25:AR26)</f>
        <v>143.35570469798657</v>
      </c>
      <c r="AS27" s="219">
        <f>SUM(AS25:AS26)</f>
        <v>144.02684563758388</v>
      </c>
      <c r="AT27" s="199">
        <f>SUM(AT25:AT26)</f>
        <v>145.63758389261744</v>
      </c>
      <c r="AU27" s="198"/>
      <c r="AV27" s="219">
        <f>SUM(AV25:AV26)</f>
        <v>150.60402684563758</v>
      </c>
      <c r="AW27" s="199">
        <f>SUM(AW25:AW26)</f>
        <v>156.51006711409394</v>
      </c>
      <c r="AX27" s="219">
        <f>SUM(AX25:AX26)</f>
        <v>158.38926174496643</v>
      </c>
      <c r="AY27" s="199">
        <f>SUM(AY25:AY26)</f>
        <v>170.33557046979865</v>
      </c>
      <c r="AZ27" s="198"/>
      <c r="BA27" s="219">
        <f>SUM(BA25:BA26)</f>
        <v>174.2281879194631</v>
      </c>
      <c r="BB27" s="199">
        <f>SUM(BB25:BB26)</f>
        <v>189.93288590604027</v>
      </c>
      <c r="BC27" s="219">
        <f>SUM(BC25:BC26)</f>
        <v>190.73825503355704</v>
      </c>
      <c r="BD27" s="199">
        <f>SUM(BD25:BD26)</f>
        <v>175.23154362416105</v>
      </c>
      <c r="BE27" s="198"/>
      <c r="BF27" s="219">
        <f>SUM(BF25:BF26)</f>
        <v>175.74663758389261</v>
      </c>
      <c r="BG27" s="199">
        <f>SUM(BG25:BG26)</f>
        <v>169.31576510067114</v>
      </c>
      <c r="BH27" s="219"/>
      <c r="BI27" s="199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</row>
    <row r="28" spans="1:76" s="89" customFormat="1">
      <c r="C28" s="212"/>
      <c r="D28" s="216"/>
      <c r="E28" s="212"/>
      <c r="F28" s="216"/>
      <c r="G28" s="212"/>
      <c r="H28" s="212"/>
      <c r="I28" s="216"/>
      <c r="J28" s="212"/>
      <c r="K28" s="216"/>
      <c r="L28" s="212"/>
      <c r="M28" s="212"/>
      <c r="N28" s="216"/>
      <c r="O28" s="212"/>
      <c r="P28" s="216"/>
      <c r="Q28" s="212"/>
      <c r="R28" s="215"/>
      <c r="S28" s="216"/>
      <c r="T28" s="215"/>
      <c r="U28" s="216"/>
      <c r="V28" s="212"/>
      <c r="W28" s="215"/>
      <c r="X28" s="216"/>
      <c r="Y28" s="215"/>
      <c r="Z28" s="216"/>
      <c r="AA28" s="212"/>
      <c r="AB28" s="215"/>
      <c r="AC28" s="216"/>
      <c r="AD28" s="215"/>
      <c r="AE28" s="216"/>
      <c r="AF28" s="212"/>
      <c r="AG28" s="215"/>
      <c r="AH28" s="216"/>
      <c r="AI28" s="215"/>
      <c r="AJ28" s="216"/>
      <c r="AK28" s="212"/>
      <c r="AL28" s="215"/>
      <c r="AM28" s="216"/>
      <c r="AN28" s="215"/>
      <c r="AO28" s="216"/>
      <c r="AP28" s="212"/>
      <c r="AQ28" s="215"/>
      <c r="AR28" s="216"/>
      <c r="AS28" s="215"/>
      <c r="AT28" s="216"/>
      <c r="AU28" s="212"/>
      <c r="AV28" s="215"/>
      <c r="AW28" s="216"/>
      <c r="AX28" s="215"/>
      <c r="AY28" s="216"/>
      <c r="AZ28" s="212"/>
      <c r="BA28" s="215"/>
      <c r="BB28" s="216"/>
      <c r="BC28" s="215"/>
      <c r="BD28" s="216"/>
      <c r="BE28" s="212"/>
      <c r="BF28" s="215"/>
      <c r="BG28" s="216"/>
      <c r="BH28" s="215"/>
      <c r="BI28" s="216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</row>
    <row r="29" spans="1:76">
      <c r="D29" s="72"/>
      <c r="F29" s="72"/>
      <c r="I29" s="72"/>
      <c r="K29" s="72"/>
      <c r="N29" s="72"/>
      <c r="P29" s="72"/>
      <c r="R29" s="3"/>
      <c r="S29" s="72"/>
      <c r="T29" s="3"/>
      <c r="U29" s="72"/>
      <c r="W29" s="3"/>
      <c r="X29" s="72"/>
      <c r="Y29" s="3"/>
      <c r="Z29" s="72"/>
      <c r="AB29" s="3"/>
      <c r="AC29" s="72"/>
      <c r="AD29" s="3"/>
      <c r="AE29" s="72"/>
      <c r="AG29" s="3"/>
      <c r="AH29" s="72"/>
      <c r="AI29" s="3"/>
      <c r="AJ29" s="72"/>
      <c r="AL29" s="3"/>
      <c r="AM29" s="72"/>
      <c r="AN29" s="3"/>
      <c r="AO29" s="72"/>
      <c r="AQ29" s="3"/>
      <c r="AR29" s="72"/>
      <c r="AS29" s="3"/>
      <c r="AT29" s="72"/>
      <c r="AV29" s="3"/>
      <c r="AW29" s="72"/>
      <c r="AX29" s="3"/>
      <c r="AY29" s="72"/>
      <c r="BA29" s="3"/>
      <c r="BB29" s="72"/>
      <c r="BC29" s="3"/>
      <c r="BD29" s="72"/>
      <c r="BF29" s="3"/>
      <c r="BG29" s="72"/>
      <c r="BH29" s="3"/>
      <c r="BI29" s="72"/>
    </row>
    <row r="30" spans="1:76">
      <c r="A30" s="5" t="s">
        <v>46</v>
      </c>
      <c r="D30" s="72"/>
      <c r="F30" s="72"/>
      <c r="I30" s="72"/>
      <c r="K30" s="72"/>
      <c r="N30" s="72"/>
      <c r="P30" s="72"/>
      <c r="R30" s="3"/>
      <c r="S30" s="72"/>
      <c r="T30" s="3"/>
      <c r="U30" s="72"/>
      <c r="W30" s="3"/>
      <c r="X30" s="72"/>
      <c r="Y30" s="3"/>
      <c r="Z30" s="72"/>
      <c r="AB30" s="3"/>
      <c r="AC30" s="72"/>
      <c r="AD30" s="3"/>
      <c r="AE30" s="72"/>
      <c r="AG30" s="3"/>
      <c r="AH30" s="72"/>
      <c r="AI30" s="3"/>
      <c r="AJ30" s="72"/>
      <c r="AL30" s="3"/>
      <c r="AM30" s="72"/>
      <c r="AN30" s="3"/>
      <c r="AO30" s="72"/>
      <c r="AQ30" s="3"/>
      <c r="AR30" s="72"/>
      <c r="AS30" s="3"/>
      <c r="AT30" s="72"/>
      <c r="AV30" s="3"/>
      <c r="AW30" s="72"/>
      <c r="AX30" s="3"/>
      <c r="AY30" s="72"/>
      <c r="BA30" s="3"/>
      <c r="BB30" s="72"/>
      <c r="BC30" s="3"/>
      <c r="BD30" s="72"/>
      <c r="BF30" s="3"/>
      <c r="BG30" s="72"/>
      <c r="BH30" s="3"/>
      <c r="BI30" s="72"/>
    </row>
    <row r="31" spans="1:76">
      <c r="A31" s="2" t="s">
        <v>167</v>
      </c>
      <c r="C31" s="32">
        <f>C14/C27</f>
        <v>9.935606060606057</v>
      </c>
      <c r="D31" s="103">
        <f>D14/D27</f>
        <v>11.063055062166963</v>
      </c>
      <c r="E31" s="32">
        <f>E14/E27</f>
        <v>11.120646687697162</v>
      </c>
      <c r="F31" s="103">
        <f>F14/F27</f>
        <v>10.735056417489421</v>
      </c>
      <c r="H31" s="32">
        <f>H14/H27</f>
        <v>13.606124999999999</v>
      </c>
      <c r="I31" s="103">
        <f>I14/I27</f>
        <v>11.899218335343784</v>
      </c>
      <c r="J31" s="32">
        <f>J14/J27</f>
        <v>12.960139325842697</v>
      </c>
      <c r="K31" s="103">
        <f>K14/K27</f>
        <v>14.029831509846828</v>
      </c>
      <c r="M31" s="32">
        <f>M14/M27</f>
        <v>11.426010968921391</v>
      </c>
      <c r="N31" s="103">
        <f>N14/N27</f>
        <v>12.862091062394606</v>
      </c>
      <c r="O31" s="32">
        <f>O14/O27</f>
        <v>13.080356564019446</v>
      </c>
      <c r="P31" s="103">
        <f>P14/P27</f>
        <v>9.4248275862068969</v>
      </c>
      <c r="R31" s="33">
        <f>R14/R27</f>
        <v>7.2734985835694062</v>
      </c>
      <c r="S31" s="103">
        <f>S14/S27</f>
        <v>8.0766395663956647</v>
      </c>
      <c r="T31" s="33">
        <f>T14/T27</f>
        <v>5.7610113107119094</v>
      </c>
      <c r="U31" s="103">
        <f>U14/U27</f>
        <v>3.6952615384615393</v>
      </c>
      <c r="W31" s="33">
        <f>W14/W27</f>
        <v>4.0353590192644484</v>
      </c>
      <c r="X31" s="103">
        <f>X14/X27</f>
        <v>7.0229230769230764</v>
      </c>
      <c r="Y31" s="33">
        <f>Y14/Y27</f>
        <v>11.096902050113895</v>
      </c>
      <c r="Z31" s="103">
        <f>Z14/Z27</f>
        <v>10.294374331550801</v>
      </c>
      <c r="AB31" s="33">
        <f>AB14/AB27</f>
        <v>10.388484848484849</v>
      </c>
      <c r="AC31" s="103">
        <f>AC14/AC27</f>
        <v>10.184089020771514</v>
      </c>
      <c r="AD31" s="33">
        <f>AD14/AD27</f>
        <v>10.282409756097561</v>
      </c>
      <c r="AE31" s="103">
        <f>AE14/AE27</f>
        <v>11.308951269035534</v>
      </c>
      <c r="AG31" s="33">
        <f>AG14/AG27</f>
        <v>12.499599573635427</v>
      </c>
      <c r="AH31" s="103">
        <f>AH14/AH27</f>
        <v>14.020178707048457</v>
      </c>
      <c r="AI31" s="33">
        <f>AI14/AI27</f>
        <v>10.091269174234425</v>
      </c>
      <c r="AJ31" s="103">
        <f>AJ14/AJ27</f>
        <v>8.6439824459459444</v>
      </c>
      <c r="AL31" s="33">
        <f>AL14/AL27</f>
        <v>10.100465565134099</v>
      </c>
      <c r="AM31" s="103">
        <f>AM14/AM27</f>
        <v>6.7813051643192495</v>
      </c>
      <c r="AN31" s="33">
        <f>AN14/AN27</f>
        <v>7.5678220000000005</v>
      </c>
      <c r="AO31" s="103">
        <f>AO14/AO27</f>
        <v>6.519195380173243</v>
      </c>
      <c r="AQ31" s="33">
        <f>AQ14/AQ27</f>
        <v>7.7351345029239766</v>
      </c>
      <c r="AR31" s="103">
        <f>AR14/AR27</f>
        <v>7.3103220973782781</v>
      </c>
      <c r="AS31" s="33">
        <f>AS14/AS27</f>
        <v>8.6633010251630953</v>
      </c>
      <c r="AT31" s="103">
        <f>AT14/AT27</f>
        <v>7.8438746543778803</v>
      </c>
      <c r="AV31" s="33">
        <f>AV14/AV27</f>
        <v>8.4635454545454554</v>
      </c>
      <c r="AW31" s="103">
        <f>AW14/AW27</f>
        <v>9.3795180102915978</v>
      </c>
      <c r="AX31" s="33">
        <f>AX14/AX27</f>
        <v>8.3716313559322018</v>
      </c>
      <c r="AY31" s="103">
        <f>AY14/AY27</f>
        <v>7.1406808510638298</v>
      </c>
      <c r="BA31" s="33">
        <f>BA14/BA27</f>
        <v>9.2892950693374416</v>
      </c>
      <c r="BB31" s="103">
        <f>BB14/BB27</f>
        <v>7.5638558303886931</v>
      </c>
      <c r="BC31" s="33">
        <f>BC14/BC27</f>
        <v>6.8552906403940881</v>
      </c>
      <c r="BD31" s="103">
        <f>BD14/BD27</f>
        <v>7.1054007162144064</v>
      </c>
      <c r="BF31" s="33">
        <f>BF14/BF27</f>
        <v>7.8900571059260942</v>
      </c>
      <c r="BG31" s="103">
        <f>BG14/BG27</f>
        <v>7.4611944823795131</v>
      </c>
      <c r="BH31" s="33"/>
      <c r="BI31" s="103"/>
    </row>
    <row r="32" spans="1:76">
      <c r="A32" s="2" t="s">
        <v>168</v>
      </c>
      <c r="C32" s="32">
        <f>C14/C25</f>
        <v>9.0137457044673504</v>
      </c>
      <c r="D32" s="103">
        <f>D14/D25</f>
        <v>10.329187396351577</v>
      </c>
      <c r="E32" s="32">
        <f>E14/E25</f>
        <v>10.747698170731709</v>
      </c>
      <c r="F32" s="103">
        <f>F14/F25</f>
        <v>10.615278940027892</v>
      </c>
      <c r="H32" s="32">
        <f>H14/H25</f>
        <v>13.377302716688227</v>
      </c>
      <c r="I32" s="103">
        <f>I14/I25</f>
        <v>11.687739336492886</v>
      </c>
      <c r="J32" s="32">
        <f>J14/J25</f>
        <v>12.661387486278814</v>
      </c>
      <c r="K32" s="103">
        <f>K14/K25</f>
        <v>13.758869098712447</v>
      </c>
      <c r="M32" s="32">
        <f>M14/M25</f>
        <v>11.200767025089608</v>
      </c>
      <c r="N32" s="103">
        <f>N14/N25</f>
        <v>12.669800664451829</v>
      </c>
      <c r="O32" s="32">
        <f>O14/O25</f>
        <v>12.933621794871792</v>
      </c>
      <c r="P32" s="103">
        <f>P14/P25</f>
        <v>9.3019840695148446</v>
      </c>
      <c r="R32" s="33">
        <f>R14/R25</f>
        <v>7.1619107391910752</v>
      </c>
      <c r="S32" s="103">
        <f>S14/S25</f>
        <v>7.968663101604279</v>
      </c>
      <c r="T32" s="33">
        <f>T14/T25</f>
        <v>5.6779016393442623</v>
      </c>
      <c r="U32" s="103">
        <f>U14/U25</f>
        <v>3.6119097744360906</v>
      </c>
      <c r="W32" s="33">
        <f>W14/W25</f>
        <v>3.9489117395029996</v>
      </c>
      <c r="X32" s="103">
        <f>X14/X25</f>
        <v>6.7661561264822128</v>
      </c>
      <c r="Y32" s="33">
        <f>Y14/Y25</f>
        <v>10.601828073993472</v>
      </c>
      <c r="Z32" s="103">
        <f>Z14/Z25</f>
        <v>9.9640165631469966</v>
      </c>
      <c r="AB32" s="33">
        <f>AB14/AB25</f>
        <v>10.102110266159695</v>
      </c>
      <c r="AC32" s="103">
        <f>AC14/AC25</f>
        <v>9.9671965150048401</v>
      </c>
      <c r="AD32" s="33">
        <f>AD14/AD25</f>
        <v>10.134105769230768</v>
      </c>
      <c r="AE32" s="103">
        <f>AE14/AE25</f>
        <v>11.184053212851405</v>
      </c>
      <c r="AG32" s="33">
        <f>AG14/AG25</f>
        <v>12.334462587398374</v>
      </c>
      <c r="AH32" s="103">
        <f>AH14/AH25</f>
        <v>13.882576080697925</v>
      </c>
      <c r="AI32" s="33">
        <f>AI14/AI25</f>
        <v>10.048824298633019</v>
      </c>
      <c r="AJ32" s="103">
        <f>AJ14/AJ25</f>
        <v>8.6523341198067616</v>
      </c>
      <c r="AL32" s="33">
        <f>AL14/AL25</f>
        <v>10.178461438223938</v>
      </c>
      <c r="AM32" s="103">
        <f>AM14/AM25</f>
        <v>6.813292452830189</v>
      </c>
      <c r="AN32" s="33">
        <f>AN14/AN25</f>
        <v>7.5753973973973983</v>
      </c>
      <c r="AO32" s="103">
        <f>AO14/AO25</f>
        <v>6.5761592233009702</v>
      </c>
      <c r="AQ32" s="33">
        <f>AQ14/AQ25</f>
        <v>7.7730146914789424</v>
      </c>
      <c r="AR32" s="103">
        <f>AR14/AR25</f>
        <v>7.365494339622642</v>
      </c>
      <c r="AS32" s="33">
        <f>AS14/AS25</f>
        <v>8.7530338983050875</v>
      </c>
      <c r="AT32" s="103">
        <f>AT14/AT25</f>
        <v>7.8874921223354955</v>
      </c>
      <c r="AV32" s="33">
        <f>AV14/AV25</f>
        <v>8.5473429342934306</v>
      </c>
      <c r="AW32" s="103">
        <f>AW14/AW25</f>
        <v>9.4606557093425643</v>
      </c>
      <c r="AX32" s="33">
        <f>AX14/AX25</f>
        <v>8.4359735269000833</v>
      </c>
      <c r="AY32" s="103">
        <f>AY14/AY25</f>
        <v>7.2608365384615388</v>
      </c>
      <c r="BA32" s="33">
        <f>BA14/BA25</f>
        <v>9.4346674491392797</v>
      </c>
      <c r="BB32" s="103">
        <f>BB14/BB25</f>
        <v>7.6394403997144904</v>
      </c>
      <c r="BC32" s="33">
        <f>BC14/BC25</f>
        <v>6.9880688665710178</v>
      </c>
      <c r="BD32" s="103">
        <f>BD14/BD25</f>
        <v>7.2574458679706622</v>
      </c>
      <c r="BF32" s="33">
        <f>BF14/BF25</f>
        <v>8.0506316467508601</v>
      </c>
      <c r="BG32" s="103">
        <f>BG14/BG25</f>
        <v>7.6546540488138302</v>
      </c>
      <c r="BH32" s="33"/>
      <c r="BI32" s="103"/>
    </row>
    <row r="33" spans="1:61">
      <c r="D33" s="72"/>
      <c r="F33" s="72"/>
      <c r="I33" s="72"/>
      <c r="K33" s="72"/>
      <c r="N33" s="72"/>
      <c r="P33" s="72"/>
      <c r="R33" s="3"/>
      <c r="S33" s="72"/>
      <c r="T33" s="3"/>
      <c r="U33" s="72"/>
      <c r="W33" s="3"/>
      <c r="X33" s="72"/>
      <c r="Y33" s="3"/>
      <c r="Z33" s="72"/>
      <c r="AB33" s="3"/>
      <c r="AC33" s="72"/>
      <c r="AD33" s="3"/>
      <c r="AE33" s="72"/>
      <c r="AG33" s="3"/>
      <c r="AH33" s="72"/>
      <c r="AI33" s="3"/>
      <c r="AJ33" s="72"/>
      <c r="AL33" s="3"/>
      <c r="AM33" s="72"/>
      <c r="AN33" s="3"/>
      <c r="AO33" s="72"/>
      <c r="AQ33" s="3"/>
      <c r="AR33" s="72"/>
      <c r="AS33" s="3"/>
      <c r="AT33" s="72"/>
      <c r="AV33" s="3"/>
      <c r="AW33" s="72"/>
      <c r="AX33" s="3"/>
      <c r="AY33" s="72"/>
      <c r="BA33" s="3"/>
      <c r="BB33" s="72"/>
      <c r="BC33" s="3"/>
      <c r="BD33" s="72"/>
      <c r="BF33" s="3"/>
      <c r="BG33" s="72"/>
      <c r="BH33" s="3"/>
      <c r="BI33" s="72"/>
    </row>
    <row r="34" spans="1:61">
      <c r="A34" s="5" t="s">
        <v>53</v>
      </c>
      <c r="D34" s="72"/>
      <c r="F34" s="72"/>
      <c r="I34" s="72"/>
      <c r="K34" s="72"/>
      <c r="N34" s="72"/>
      <c r="P34" s="72"/>
      <c r="R34" s="3"/>
      <c r="S34" s="72"/>
      <c r="T34" s="3"/>
      <c r="U34" s="72"/>
      <c r="W34" s="3"/>
      <c r="X34" s="72"/>
      <c r="Y34" s="3"/>
      <c r="Z34" s="72"/>
      <c r="AB34" s="3"/>
      <c r="AC34" s="72"/>
      <c r="AD34" s="3"/>
      <c r="AE34" s="72"/>
      <c r="AG34" s="3"/>
      <c r="AH34" s="72"/>
      <c r="AI34" s="3"/>
      <c r="AJ34" s="72"/>
      <c r="AL34" s="3"/>
      <c r="AM34" s="72"/>
      <c r="AN34" s="3"/>
      <c r="AO34" s="72"/>
      <c r="AQ34" s="3"/>
      <c r="AR34" s="72"/>
      <c r="AS34" s="3"/>
      <c r="AT34" s="72"/>
      <c r="AV34" s="3"/>
      <c r="AW34" s="72"/>
      <c r="AX34" s="3"/>
      <c r="AY34" s="72"/>
      <c r="BA34" s="3"/>
      <c r="BB34" s="72"/>
      <c r="BC34" s="3"/>
      <c r="BD34" s="72"/>
      <c r="BF34" s="3"/>
      <c r="BG34" s="72"/>
      <c r="BH34" s="3"/>
      <c r="BI34" s="72"/>
    </row>
    <row r="35" spans="1:61" ht="13.5" thickBot="1">
      <c r="A35" s="2" t="s">
        <v>107</v>
      </c>
      <c r="D35" s="72"/>
      <c r="F35" s="72"/>
      <c r="I35" s="72"/>
      <c r="K35" s="72"/>
      <c r="M35" s="32">
        <f>M13/M23</f>
        <v>1.8162705667276053</v>
      </c>
      <c r="N35" s="103">
        <f>N13/N23</f>
        <v>1.9392917369308604</v>
      </c>
      <c r="O35" s="32">
        <f>O13/O23</f>
        <v>1.8687196110210695</v>
      </c>
      <c r="P35" s="103">
        <f>P13/P23</f>
        <v>1.4636830520909756</v>
      </c>
      <c r="R35" s="33">
        <f>R13/R23</f>
        <v>1.5686968838526913</v>
      </c>
      <c r="S35" s="103">
        <f>S13/S23</f>
        <v>1.9139566395663958</v>
      </c>
      <c r="T35" s="33">
        <f>T13/T23</f>
        <v>1.8769128409846974</v>
      </c>
      <c r="U35" s="103">
        <f>U13/U23</f>
        <v>1.7384615384615387</v>
      </c>
      <c r="W35" s="33">
        <f>W13/W23</f>
        <v>1.9993870402802105</v>
      </c>
      <c r="X35" s="103">
        <f>X13/X23</f>
        <v>2.6536410256410261</v>
      </c>
      <c r="Y35" s="33">
        <f>Y13/Y23</f>
        <v>3.0535307517084282</v>
      </c>
      <c r="Z35" s="103">
        <f>Z13/Z23</f>
        <v>2.9144385026737969</v>
      </c>
      <c r="AB35" s="33">
        <f>AB13/AB23</f>
        <v>3.3176930596285432</v>
      </c>
      <c r="AC35" s="103">
        <f>AC13/AC23</f>
        <v>3.7487636003956482</v>
      </c>
      <c r="AD35" s="33">
        <f>AD13/AD23</f>
        <v>4.0429268292682927</v>
      </c>
      <c r="AE35" s="103">
        <f>AE13/AE23</f>
        <v>4.1675126903553297</v>
      </c>
      <c r="AG35" s="33">
        <f>AG13/AG23</f>
        <v>4.9649845520082394</v>
      </c>
      <c r="AH35" s="103">
        <f>AH13/AH23</f>
        <v>5.4405286343612325</v>
      </c>
      <c r="AI35" s="33">
        <f>AI13/AI23</f>
        <v>5.0380147835269273</v>
      </c>
      <c r="AJ35" s="103">
        <f>AJ13/AJ23</f>
        <v>4.275096525096524</v>
      </c>
      <c r="AL35" s="33">
        <f>AL13/AL23</f>
        <v>4.3017241379310347</v>
      </c>
      <c r="AM35" s="103">
        <f>AM13/AM23</f>
        <v>2.5276995305164318</v>
      </c>
      <c r="AN35" s="33">
        <f>AN13/AN23</f>
        <v>2.7510000000000003</v>
      </c>
      <c r="AO35" s="103">
        <f>AO13/AO23</f>
        <v>1.8373435996150143</v>
      </c>
      <c r="AQ35" s="33">
        <f>AQ13/AQ23</f>
        <v>2.7056530214424956</v>
      </c>
      <c r="AR35" s="103">
        <f>AR13/AR23</f>
        <v>2.6582397003745317</v>
      </c>
      <c r="AS35" s="33">
        <f>AS13/AS23</f>
        <v>2.5657036346691524</v>
      </c>
      <c r="AT35" s="103">
        <f>AT13/AT23</f>
        <v>1.9456221198156685</v>
      </c>
      <c r="AV35" s="33">
        <f>AV13/AV23</f>
        <v>1.7816399286987525</v>
      </c>
      <c r="AW35" s="103">
        <f>AW13/AW23</f>
        <v>1.7221269296740997</v>
      </c>
      <c r="AX35" s="33">
        <f>AX13/AX23</f>
        <v>1.7957627118644068</v>
      </c>
      <c r="AY35" s="103">
        <f>AY13/AY23</f>
        <v>0.89440504334121362</v>
      </c>
      <c r="BA35" s="33">
        <f>BA13/BA23</f>
        <v>1.0184899845916795</v>
      </c>
      <c r="BB35" s="103">
        <f>BB13/BB23</f>
        <v>1.0162544169611307</v>
      </c>
      <c r="BC35" s="33">
        <f>BC13/BC23</f>
        <v>0.87825475017593246</v>
      </c>
      <c r="BD35" s="103">
        <f>BD13/BD23</f>
        <v>0.50732875007181299</v>
      </c>
      <c r="BF35" s="33">
        <f>BF13/BF23</f>
        <v>0.90414247569401796</v>
      </c>
      <c r="BG35" s="103">
        <f>BG13/BG23</f>
        <v>1.1115326436856057</v>
      </c>
      <c r="BH35" s="33"/>
      <c r="BI35" s="103"/>
    </row>
    <row r="36" spans="1:61" s="77" customFormat="1">
      <c r="R36" s="78"/>
      <c r="S36" s="78"/>
      <c r="T36" s="78"/>
      <c r="U36" s="78"/>
      <c r="W36" s="78"/>
      <c r="X36" s="78"/>
      <c r="Y36" s="78"/>
      <c r="Z36" s="78"/>
      <c r="AB36" s="78"/>
      <c r="AC36" s="78"/>
      <c r="AD36" s="78"/>
      <c r="AE36" s="78"/>
    </row>
    <row r="37" spans="1:61"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9" spans="1:61">
      <c r="R39" s="34"/>
    </row>
    <row r="40" spans="1:61">
      <c r="R40" s="34"/>
    </row>
    <row r="42" spans="1:61">
      <c r="R42" s="35"/>
    </row>
    <row r="43" spans="1:61">
      <c r="R43" s="35"/>
    </row>
  </sheetData>
  <mergeCells count="24">
    <mergeCell ref="BF1:BI1"/>
    <mergeCell ref="BF2:BI2"/>
    <mergeCell ref="AB1:AE1"/>
    <mergeCell ref="AB2:AE2"/>
    <mergeCell ref="AQ1:AT1"/>
    <mergeCell ref="AQ2:AT2"/>
    <mergeCell ref="AG1:AJ1"/>
    <mergeCell ref="AG2:AJ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17"/>
  <sheetViews>
    <sheetView showGridLines="0" zoomScaleNormal="100" zoomScaleSheetLayoutView="90" workbookViewId="0">
      <pane xSplit="1" ySplit="3" topLeftCell="AL4" activePane="bottomRight" state="frozen"/>
      <selection activeCell="D10" sqref="D10:K10"/>
      <selection pane="topRight" activeCell="D10" sqref="D10:K10"/>
      <selection pane="bottomLeft" activeCell="D10" sqref="D10:K10"/>
      <selection pane="bottomRight" activeCell="AZ57" sqref="AZ57"/>
    </sheetView>
  </sheetViews>
  <sheetFormatPr defaultColWidth="9.140625" defaultRowHeight="12.75"/>
  <cols>
    <col min="1" max="1" width="39" style="36" customWidth="1"/>
    <col min="2" max="5" width="8.7109375" style="36" customWidth="1"/>
    <col min="6" max="6" width="4.7109375" style="36" customWidth="1"/>
    <col min="7" max="10" width="8.7109375" style="36" customWidth="1"/>
    <col min="11" max="11" width="4.7109375" style="36" customWidth="1"/>
    <col min="12" max="15" width="8.7109375" style="36" customWidth="1"/>
    <col min="16" max="16" width="4.7109375" style="36" customWidth="1"/>
    <col min="17" max="20" width="8.7109375" style="36" customWidth="1"/>
    <col min="21" max="21" width="4.7109375" style="36" customWidth="1"/>
    <col min="22" max="25" width="8.7109375" style="36" customWidth="1"/>
    <col min="26" max="26" width="4.7109375" style="36" customWidth="1"/>
    <col min="27" max="30" width="8.7109375" style="36" customWidth="1"/>
    <col min="31" max="31" width="4.7109375" style="36" customWidth="1"/>
    <col min="32" max="35" width="8.7109375" style="36" customWidth="1"/>
    <col min="36" max="36" width="4.7109375" style="36" customWidth="1"/>
    <col min="37" max="40" width="8.7109375" style="36" customWidth="1"/>
    <col min="41" max="41" width="4.7109375" style="36" customWidth="1"/>
    <col min="42" max="45" width="8.7109375" style="36" customWidth="1"/>
    <col min="46" max="46" width="4.7109375" style="36" customWidth="1"/>
    <col min="47" max="50" width="8.7109375" style="36" customWidth="1"/>
    <col min="51" max="51" width="4.7109375" style="36" customWidth="1"/>
    <col min="52" max="55" width="8.7109375" style="36" customWidth="1"/>
    <col min="56" max="56" width="4.7109375" style="36" customWidth="1"/>
    <col min="57" max="60" width="8.7109375" style="36" customWidth="1"/>
    <col min="61" max="16384" width="9.140625" style="36"/>
  </cols>
  <sheetData>
    <row r="1" spans="1:60">
      <c r="B1" s="96" t="s">
        <v>80</v>
      </c>
    </row>
    <row r="2" spans="1:60" s="96" customFormat="1">
      <c r="B2" s="236">
        <v>2005</v>
      </c>
      <c r="C2" s="236"/>
      <c r="D2" s="236"/>
      <c r="E2" s="236"/>
      <c r="G2" s="236">
        <v>2006</v>
      </c>
      <c r="H2" s="236"/>
      <c r="I2" s="236"/>
      <c r="J2" s="236"/>
      <c r="L2" s="236">
        <v>2007</v>
      </c>
      <c r="M2" s="236"/>
      <c r="N2" s="236"/>
      <c r="O2" s="236"/>
      <c r="Q2" s="236">
        <v>2008</v>
      </c>
      <c r="R2" s="236"/>
      <c r="S2" s="236"/>
      <c r="T2" s="236"/>
      <c r="V2" s="236">
        <v>2009</v>
      </c>
      <c r="W2" s="236"/>
      <c r="X2" s="236"/>
      <c r="Y2" s="236"/>
      <c r="AA2" s="236">
        <v>2010</v>
      </c>
      <c r="AB2" s="236"/>
      <c r="AC2" s="236"/>
      <c r="AD2" s="236"/>
      <c r="AF2" s="236">
        <v>2011</v>
      </c>
      <c r="AG2" s="236"/>
      <c r="AH2" s="236"/>
      <c r="AI2" s="236"/>
      <c r="AK2" s="236">
        <v>2012</v>
      </c>
      <c r="AL2" s="236"/>
      <c r="AM2" s="236"/>
      <c r="AN2" s="236"/>
      <c r="AP2" s="236">
        <v>2013</v>
      </c>
      <c r="AQ2" s="236"/>
      <c r="AR2" s="236"/>
      <c r="AS2" s="236"/>
      <c r="AU2" s="236">
        <v>2014</v>
      </c>
      <c r="AV2" s="236"/>
      <c r="AW2" s="236"/>
      <c r="AX2" s="236"/>
      <c r="AZ2" s="236">
        <v>2015</v>
      </c>
      <c r="BA2" s="236"/>
      <c r="BB2" s="236"/>
      <c r="BC2" s="236"/>
      <c r="BE2" s="236">
        <v>2016</v>
      </c>
      <c r="BF2" s="236"/>
      <c r="BG2" s="236"/>
      <c r="BH2" s="236"/>
    </row>
    <row r="3" spans="1:60" s="113" customFormat="1" ht="13.5" thickBot="1">
      <c r="A3" s="111" t="s">
        <v>205</v>
      </c>
      <c r="B3" s="112" t="s">
        <v>55</v>
      </c>
      <c r="C3" s="112" t="s">
        <v>58</v>
      </c>
      <c r="D3" s="112" t="s">
        <v>59</v>
      </c>
      <c r="E3" s="112" t="s">
        <v>61</v>
      </c>
      <c r="F3" s="112"/>
      <c r="G3" s="112" t="s">
        <v>62</v>
      </c>
      <c r="H3" s="112" t="s">
        <v>56</v>
      </c>
      <c r="I3" s="112" t="s">
        <v>63</v>
      </c>
      <c r="J3" s="112" t="s">
        <v>60</v>
      </c>
      <c r="K3" s="112"/>
      <c r="L3" s="112" t="s">
        <v>64</v>
      </c>
      <c r="M3" s="112" t="s">
        <v>65</v>
      </c>
      <c r="N3" s="112" t="s">
        <v>57</v>
      </c>
      <c r="O3" s="112" t="s">
        <v>69</v>
      </c>
      <c r="P3" s="112"/>
      <c r="Q3" s="112" t="s">
        <v>71</v>
      </c>
      <c r="R3" s="112" t="s">
        <v>73</v>
      </c>
      <c r="S3" s="112" t="s">
        <v>75</v>
      </c>
      <c r="T3" s="112" t="s">
        <v>78</v>
      </c>
      <c r="U3" s="112"/>
      <c r="V3" s="112" t="s">
        <v>103</v>
      </c>
      <c r="W3" s="112" t="s">
        <v>104</v>
      </c>
      <c r="X3" s="112" t="s">
        <v>105</v>
      </c>
      <c r="Y3" s="112" t="s">
        <v>110</v>
      </c>
      <c r="Z3" s="112"/>
      <c r="AA3" s="112" t="s">
        <v>111</v>
      </c>
      <c r="AB3" s="112" t="s">
        <v>112</v>
      </c>
      <c r="AC3" s="112" t="s">
        <v>113</v>
      </c>
      <c r="AD3" s="112" t="s">
        <v>115</v>
      </c>
      <c r="AE3" s="112"/>
      <c r="AF3" s="112" t="s">
        <v>116</v>
      </c>
      <c r="AG3" s="112" t="s">
        <v>118</v>
      </c>
      <c r="AH3" s="112" t="s">
        <v>122</v>
      </c>
      <c r="AI3" s="112" t="s">
        <v>123</v>
      </c>
      <c r="AJ3" s="112"/>
      <c r="AK3" s="112" t="s">
        <v>125</v>
      </c>
      <c r="AL3" s="112" t="s">
        <v>126</v>
      </c>
      <c r="AM3" s="112" t="s">
        <v>127</v>
      </c>
      <c r="AN3" s="112" t="s">
        <v>128</v>
      </c>
      <c r="AP3" s="112" t="s">
        <v>134</v>
      </c>
      <c r="AQ3" s="112" t="s">
        <v>135</v>
      </c>
      <c r="AR3" s="112" t="s">
        <v>136</v>
      </c>
      <c r="AS3" s="112" t="s">
        <v>137</v>
      </c>
      <c r="AU3" s="112" t="s">
        <v>138</v>
      </c>
      <c r="AV3" s="112" t="s">
        <v>139</v>
      </c>
      <c r="AW3" s="112" t="s">
        <v>140</v>
      </c>
      <c r="AX3" s="112" t="s">
        <v>144</v>
      </c>
      <c r="AZ3" s="112" t="s">
        <v>152</v>
      </c>
      <c r="BA3" s="112" t="s">
        <v>173</v>
      </c>
      <c r="BB3" s="112" t="s">
        <v>174</v>
      </c>
      <c r="BC3" s="112" t="s">
        <v>204</v>
      </c>
      <c r="BE3" s="112" t="s">
        <v>219</v>
      </c>
      <c r="BF3" s="112" t="s">
        <v>224</v>
      </c>
      <c r="BG3" s="112"/>
      <c r="BH3" s="112"/>
    </row>
    <row r="4" spans="1:60" s="110" customFormat="1" ht="13.5" thickTop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P4" s="109"/>
      <c r="AQ4" s="109"/>
      <c r="AR4" s="109"/>
      <c r="AS4" s="109"/>
      <c r="AU4" s="109"/>
      <c r="AV4" s="109"/>
      <c r="AW4" s="109"/>
      <c r="AX4" s="109"/>
      <c r="AZ4" s="109"/>
      <c r="BE4" s="109"/>
    </row>
    <row r="5" spans="1:60" s="105" customFormat="1" ht="12.95" customHeight="1">
      <c r="A5" s="105" t="s">
        <v>220</v>
      </c>
      <c r="B5" s="106"/>
      <c r="C5" s="106"/>
      <c r="D5" s="106"/>
      <c r="E5" s="106"/>
      <c r="G5" s="106"/>
      <c r="H5" s="106"/>
      <c r="I5" s="106"/>
      <c r="J5" s="106"/>
      <c r="L5" s="106"/>
      <c r="M5" s="106"/>
      <c r="N5" s="106"/>
      <c r="O5" s="106"/>
      <c r="Q5" s="106">
        <f>+Q11-Q12</f>
        <v>169.12751677852347</v>
      </c>
      <c r="R5" s="106">
        <f>+R11-R12</f>
        <v>170.20134228187919</v>
      </c>
      <c r="S5" s="106">
        <f>+S11-S12</f>
        <v>166.44295302013424</v>
      </c>
      <c r="T5" s="106">
        <f>+T11-T12</f>
        <v>144.69798657718118</v>
      </c>
      <c r="U5" s="107"/>
      <c r="V5" s="106">
        <f>+V11-V12</f>
        <v>124.83221476510066</v>
      </c>
      <c r="W5" s="106">
        <f>+W11-W12</f>
        <v>108.85906040268455</v>
      </c>
      <c r="X5" s="106">
        <f>+X11-X12</f>
        <v>100.80536912751677</v>
      </c>
      <c r="Y5" s="106">
        <f>+Y11-Y12</f>
        <v>107.24832214765101</v>
      </c>
      <c r="Z5" s="107"/>
      <c r="AA5" s="106">
        <f>+AA11-AA12</f>
        <v>121.87919463087249</v>
      </c>
      <c r="AB5" s="106">
        <f>+AB11-AB12</f>
        <v>122.95302013422818</v>
      </c>
      <c r="AC5" s="106">
        <f>+AC11-AC12</f>
        <v>127.65100671140939</v>
      </c>
      <c r="AD5" s="106">
        <f>+AD11-AD12</f>
        <v>120.13422818791946</v>
      </c>
      <c r="AF5" s="106">
        <f>+AF11-AF12</f>
        <v>116.64429530201342</v>
      </c>
      <c r="AG5" s="106">
        <f>+AG11-AG12</f>
        <v>108.45637583892618</v>
      </c>
      <c r="AH5" s="106">
        <f>+AH11-AH12</f>
        <v>104.02684563758388</v>
      </c>
      <c r="AI5" s="106">
        <f>+AI11-AI12</f>
        <v>117.8523489932886</v>
      </c>
      <c r="AK5" s="106">
        <f>+AK11-AK12</f>
        <v>122.68456375838926</v>
      </c>
      <c r="AL5" s="106">
        <f>+AL11-AL12</f>
        <v>128.3221476510067</v>
      </c>
      <c r="AM5" s="106">
        <f>+AM11-AM12</f>
        <v>131.67785234899327</v>
      </c>
      <c r="AN5" s="106">
        <f>+AN11-AN12</f>
        <v>139.46308724832215</v>
      </c>
      <c r="AP5" s="106">
        <f>+AP11-AP12</f>
        <v>137.7181208053691</v>
      </c>
      <c r="AQ5" s="106">
        <f>+AQ11-AQ12</f>
        <v>143.35570469798657</v>
      </c>
      <c r="AR5" s="106">
        <f>+AR11-AR12</f>
        <v>144.02684563758388</v>
      </c>
      <c r="AS5" s="106">
        <f>+AS11-AS12</f>
        <v>145.63758389261744</v>
      </c>
      <c r="AU5" s="106">
        <f>+AU11-AU12</f>
        <v>150.60402684563758</v>
      </c>
      <c r="AV5" s="106">
        <f>+AV11-AV12</f>
        <v>156.51006711409394</v>
      </c>
      <c r="AW5" s="106">
        <f>+AW11-AW12</f>
        <v>158.38926174496643</v>
      </c>
      <c r="AX5" s="106">
        <f>+AX11-AX12</f>
        <v>170.33557046979865</v>
      </c>
      <c r="AZ5" s="106">
        <f>+AZ11-AZ12</f>
        <v>174.2281879194631</v>
      </c>
      <c r="BA5" s="106">
        <f>+BA11-BA12</f>
        <v>189.93288590604027</v>
      </c>
      <c r="BB5" s="106">
        <f>+BB11-BB12</f>
        <v>190.73825503355704</v>
      </c>
      <c r="BC5" s="106">
        <f>+BC11-BC12</f>
        <v>175.23154362416105</v>
      </c>
      <c r="BE5" s="106">
        <f>+BE11-BE12</f>
        <v>175.74663758389261</v>
      </c>
      <c r="BF5" s="106">
        <f>+BF11-BF12</f>
        <v>169.31576510067114</v>
      </c>
      <c r="BG5" s="106"/>
      <c r="BH5" s="106"/>
    </row>
    <row r="6" spans="1:60" ht="12.95" customHeight="1">
      <c r="A6" s="36" t="s">
        <v>169</v>
      </c>
      <c r="B6" s="38"/>
      <c r="C6" s="38"/>
      <c r="D6" s="38"/>
      <c r="E6" s="38"/>
      <c r="G6" s="38"/>
      <c r="H6" s="38"/>
      <c r="I6" s="38"/>
      <c r="J6" s="38"/>
      <c r="L6" s="38"/>
      <c r="M6" s="38"/>
      <c r="N6" s="38"/>
      <c r="O6" s="38"/>
      <c r="Q6" s="38">
        <f>+Q5/Q13</f>
        <v>9.1563113145846947E-2</v>
      </c>
      <c r="R6" s="38">
        <f>+R5/R13</f>
        <v>9.0974314822786617E-2</v>
      </c>
      <c r="S6" s="38">
        <f>+S5/S13</f>
        <v>8.788093550673283E-2</v>
      </c>
      <c r="T6" s="38">
        <f>+T5/T13</f>
        <v>7.7957766849869811E-2</v>
      </c>
      <c r="V6" s="38">
        <f>+V5/V13</f>
        <v>7.1008627930060325E-2</v>
      </c>
      <c r="W6" s="38">
        <f>+W5/W13</f>
        <v>6.5130099582396392E-2</v>
      </c>
      <c r="X6" s="38">
        <f>+X5/X13</f>
        <v>6.3082738345233091E-2</v>
      </c>
      <c r="Y6" s="38">
        <f>+Y5/Y13</f>
        <v>6.8366561136305307E-2</v>
      </c>
      <c r="AA6" s="38">
        <f>+AA5/AA13</f>
        <v>7.4954597985801563E-2</v>
      </c>
      <c r="AB6" s="38">
        <f>+AB5/AB13</f>
        <v>7.2669575565251887E-2</v>
      </c>
      <c r="AC6" s="38">
        <f>+AC5/AC13</f>
        <v>7.124129148250806E-2</v>
      </c>
      <c r="AD6" s="38">
        <f>+AD5/AD13</f>
        <v>6.1933430212442055E-2</v>
      </c>
      <c r="AF6" s="38">
        <f>+AF5/AF13</f>
        <v>5.7282414167015482E-2</v>
      </c>
      <c r="AG6" s="38">
        <f>+AG5/AG13</f>
        <v>5.198147195059187E-2</v>
      </c>
      <c r="AH6" s="38">
        <f>+AH5/AH13</f>
        <v>4.9265780942088853E-2</v>
      </c>
      <c r="AI6" s="38">
        <f>+AI5/AI13</f>
        <v>5.6267623686234308E-2</v>
      </c>
      <c r="AK6" s="38">
        <f>+AK5/AK13</f>
        <v>5.950133454853198E-2</v>
      </c>
      <c r="AL6" s="38">
        <f>+AL5/AL13</f>
        <v>6.2692635582661152E-2</v>
      </c>
      <c r="AM6" s="38">
        <f>+AM5/AM13</f>
        <v>6.4739655513759639E-2</v>
      </c>
      <c r="AN6" s="38">
        <f>+AN5/AN13</f>
        <v>6.8117747328394415E-2</v>
      </c>
      <c r="AP6" s="38">
        <f>+AP5/AP13</f>
        <v>6.7362615717943664E-2</v>
      </c>
      <c r="AQ6" s="38">
        <f>+AQ5/AQ13</f>
        <v>6.9508623494956068E-2</v>
      </c>
      <c r="AR6" s="38">
        <f>+AR5/AR13</f>
        <v>6.8667605273262503E-2</v>
      </c>
      <c r="AS6" s="38">
        <f>+AS5/AS13</f>
        <v>6.8631792017205401E-2</v>
      </c>
      <c r="AU6" s="38">
        <f>+AU5/AU13</f>
        <v>6.9409217445097426E-2</v>
      </c>
      <c r="AV6" s="38">
        <f>+AV5/AV13</f>
        <v>7.217579696688331E-2</v>
      </c>
      <c r="AW6" s="38">
        <f>+AW5/AW13</f>
        <v>7.363954068896654E-2</v>
      </c>
      <c r="AX6" s="38">
        <f>+AX5/AX13</f>
        <v>7.9997478408876013E-2</v>
      </c>
      <c r="AZ6" s="38">
        <f>+AZ5/AZ13</f>
        <v>8.0311842593738386E-2</v>
      </c>
      <c r="BA6" s="38">
        <f>+BA5/BA13</f>
        <v>8.5215296597410423E-2</v>
      </c>
      <c r="BB6" s="38">
        <f>+BB5/BB13</f>
        <v>8.5814360770577927E-2</v>
      </c>
      <c r="BC6" s="38">
        <f>+BC5/BC13</f>
        <v>7.8807095490916315E-2</v>
      </c>
      <c r="BE6" s="38">
        <f>+BE5/BE13</f>
        <v>8.1734100455891273E-2</v>
      </c>
      <c r="BF6" s="38">
        <f>+BF5/BF13</f>
        <v>8.0500440026522846E-2</v>
      </c>
      <c r="BG6" s="38"/>
      <c r="BH6" s="38"/>
    </row>
    <row r="7" spans="1:60" ht="12.95" customHeight="1">
      <c r="A7" s="36" t="s">
        <v>170</v>
      </c>
      <c r="E7" s="38"/>
      <c r="G7" s="38"/>
      <c r="H7" s="38"/>
      <c r="I7" s="38"/>
      <c r="J7" s="38"/>
      <c r="L7" s="38"/>
      <c r="M7" s="38"/>
      <c r="N7" s="38"/>
      <c r="O7" s="38"/>
      <c r="Q7" s="38">
        <f>+Q5/Q14</f>
        <v>0.11498448622011313</v>
      </c>
      <c r="R7" s="38">
        <f>+R5/R14</f>
        <v>0.11351835273052821</v>
      </c>
      <c r="S7" s="38">
        <f>+S5/S14</f>
        <v>0.10910690717113948</v>
      </c>
      <c r="T7" s="38">
        <f>+T5/T14</f>
        <v>9.5626718708418337E-2</v>
      </c>
      <c r="V7" s="38">
        <f>+V5/V14</f>
        <v>8.5188238527067875E-2</v>
      </c>
      <c r="W7" s="38">
        <f>+W5/W14</f>
        <v>7.7039992400493959E-2</v>
      </c>
      <c r="X7" s="38">
        <f>+X5/X14</f>
        <v>7.3801100628930819E-2</v>
      </c>
      <c r="Y7" s="38">
        <f>+Y5/Y14</f>
        <v>8.0301507537688444E-2</v>
      </c>
      <c r="AA7" s="38">
        <f>+AA5/AA14</f>
        <v>8.989208989208991E-2</v>
      </c>
      <c r="AB7" s="38">
        <f>+AB5/AB14</f>
        <v>8.8391392453922607E-2</v>
      </c>
      <c r="AC7" s="38">
        <f>+AC5/AC14</f>
        <v>8.7706354329982472E-2</v>
      </c>
      <c r="AD7" s="38">
        <f>+AD5/AD14</f>
        <v>7.7975257013416968E-2</v>
      </c>
      <c r="AF7" s="38">
        <f>+AF5/AF14</f>
        <v>7.3305804993061663E-2</v>
      </c>
      <c r="AG7" s="38">
        <f>+AG5/AG14</f>
        <v>6.7496449753571122E-2</v>
      </c>
      <c r="AH7" s="38">
        <f>+AH5/AH14</f>
        <v>6.4288676897552868E-2</v>
      </c>
      <c r="AI7" s="38">
        <f>+AI5/AI14</f>
        <v>7.225742737223273E-2</v>
      </c>
      <c r="AK7" s="38">
        <f>+AK5/AK14</f>
        <v>7.5574665123201573E-2</v>
      </c>
      <c r="AL7" s="38">
        <f>+AL5/AL14</f>
        <v>7.9034391534391513E-2</v>
      </c>
      <c r="AM7" s="38">
        <f>+AM5/AM14</f>
        <v>8.1040892193308525E-2</v>
      </c>
      <c r="AN7" s="38">
        <f>+AN5/AN14</f>
        <v>8.5528482054659197E-2</v>
      </c>
      <c r="AP7" s="38">
        <f>+AP5/AP14</f>
        <v>8.4091467912466175E-2</v>
      </c>
      <c r="AQ7" s="38">
        <f>+AQ5/AQ14</f>
        <v>8.6226384627805588E-2</v>
      </c>
      <c r="AR7" s="38">
        <f>+AR5/AR14</f>
        <v>8.4943001899936671E-2</v>
      </c>
      <c r="AS7" s="38">
        <f>+AS5/AS14</f>
        <v>8.448181888966752E-2</v>
      </c>
      <c r="AU7" s="38">
        <f>+AU5/AU14</f>
        <v>8.5238927296209063E-2</v>
      </c>
      <c r="AV7" s="38">
        <f>+AV5/AV14</f>
        <v>8.8093079480205477E-2</v>
      </c>
      <c r="AW7" s="38">
        <f>+AW5/AW14</f>
        <v>8.9157536834151868E-2</v>
      </c>
      <c r="AX7" s="38">
        <f>+AX5/AX14</f>
        <v>9.6282245827010629E-2</v>
      </c>
      <c r="AZ7" s="38">
        <f>+AZ5/AZ14</f>
        <v>9.6319382606114584E-2</v>
      </c>
      <c r="BA7" s="38">
        <f>+BA5/BA14</f>
        <v>0.10236562251320264</v>
      </c>
      <c r="BB7" s="38">
        <f>+BB5/BB14</f>
        <v>0.10289645184648806</v>
      </c>
      <c r="BC7" s="38">
        <f>+BC5/BC14</f>
        <v>9.374694804933674E-2</v>
      </c>
      <c r="BE7" s="38">
        <f>+BE5/BE14</f>
        <v>9.6107083545130742E-2</v>
      </c>
      <c r="BF7" s="38">
        <f>+BF5/BF14</f>
        <v>9.3048139446536518E-2</v>
      </c>
      <c r="BG7" s="38"/>
      <c r="BH7" s="38"/>
    </row>
    <row r="8" spans="1:60" ht="12.95" customHeight="1"/>
    <row r="9" spans="1:60" ht="12.95" customHeight="1"/>
    <row r="10" spans="1:60" ht="12.95" customHeight="1"/>
    <row r="11" spans="1:60" ht="12.95" customHeight="1">
      <c r="A11" s="36" t="s">
        <v>131</v>
      </c>
      <c r="B11" s="39"/>
      <c r="C11" s="39"/>
      <c r="D11" s="39"/>
      <c r="E11" s="39"/>
      <c r="F11" s="39"/>
      <c r="G11" s="39">
        <f>Valuation!H23-Valuation!H21</f>
        <v>102.01342281879195</v>
      </c>
      <c r="H11" s="39">
        <f>Valuation!I23-Valuation!I21</f>
        <v>111.27516778523491</v>
      </c>
      <c r="I11" s="39">
        <f>Valuation!J23-Valuation!J21</f>
        <v>119.46308724832214</v>
      </c>
      <c r="J11" s="39">
        <f>Valuation!K23-Valuation!K21</f>
        <v>122.68456375838926</v>
      </c>
      <c r="K11" s="39"/>
      <c r="L11" s="39">
        <f>Valuation!M23-Valuation!M21</f>
        <v>133.4228187919463</v>
      </c>
      <c r="M11" s="39">
        <f>Valuation!N23-Valuation!N21</f>
        <v>151.14093959731542</v>
      </c>
      <c r="N11" s="39">
        <f>Valuation!O23-Valuation!O21</f>
        <v>161.61073825503357</v>
      </c>
      <c r="O11" s="39">
        <f>Valuation!P23-Valuation!P21</f>
        <v>182.95302013422818</v>
      </c>
      <c r="Q11" s="39">
        <f>Valuation!R23-Valuation!R21</f>
        <v>189.53020134228186</v>
      </c>
      <c r="R11" s="39">
        <f>Valuation!S23-Valuation!S21</f>
        <v>198.12080536912751</v>
      </c>
      <c r="S11" s="39">
        <f>Valuation!T23-Valuation!T21</f>
        <v>201.74496644295303</v>
      </c>
      <c r="T11" s="39">
        <f>Valuation!U23-Valuation!U21</f>
        <v>174.49664429530199</v>
      </c>
      <c r="V11" s="39">
        <f>Valuation!W23-Valuation!W21</f>
        <v>153.28859060402684</v>
      </c>
      <c r="W11" s="37">
        <f>Valuation!X23-Valuation!X21</f>
        <v>130.8724832214765</v>
      </c>
      <c r="X11" s="37">
        <f>Valuation!Y23-Valuation!Y21</f>
        <v>117.85234899328859</v>
      </c>
      <c r="Y11" s="37">
        <f>Valuation!Z23-Valuation!Z21</f>
        <v>125.50335570469798</v>
      </c>
      <c r="AA11" s="37">
        <f>Valuation!AB23-Valuation!AB21</f>
        <v>137.31543624161074</v>
      </c>
      <c r="AB11" s="37">
        <f>Valuation!AC23-Valuation!AC21</f>
        <v>135.70469798657717</v>
      </c>
      <c r="AC11" s="37">
        <f>Valuation!AD23-Valuation!AD21</f>
        <v>137.58389261744966</v>
      </c>
      <c r="AD11" s="37">
        <f>Valuation!AE23-Valuation!AE21</f>
        <v>132.21476510067114</v>
      </c>
      <c r="AF11" s="37">
        <f>Valuation!AG23-Valuation!AG21</f>
        <v>130.33557046979865</v>
      </c>
      <c r="AG11" s="37">
        <f>Valuation!AH23-Valuation!AH21</f>
        <v>121.87919463087249</v>
      </c>
      <c r="AH11" s="37">
        <f>Valuation!AI23-Valuation!AI21</f>
        <v>127.11409395973153</v>
      </c>
      <c r="AI11" s="37">
        <f>Valuation!AJ23-Valuation!AJ21</f>
        <v>139.06040268456377</v>
      </c>
      <c r="AK11" s="37">
        <f>+Valuation!AL23</f>
        <v>140.13422818791946</v>
      </c>
      <c r="AL11" s="37">
        <f>+Valuation!AM23</f>
        <v>142.95302013422818</v>
      </c>
      <c r="AM11" s="37">
        <f>+Valuation!AN23</f>
        <v>134.22818791946307</v>
      </c>
      <c r="AN11" s="37">
        <f>+Valuation!AO23</f>
        <v>139.46308724832215</v>
      </c>
      <c r="AP11" s="37">
        <f>+Valuation!AQ23</f>
        <v>137.7181208053691</v>
      </c>
      <c r="AQ11" s="37">
        <f>+Valuation!AR23</f>
        <v>143.35570469798657</v>
      </c>
      <c r="AR11" s="37">
        <f>+Valuation!AS23</f>
        <v>144.02684563758388</v>
      </c>
      <c r="AS11" s="37">
        <f>+Valuation!AT23</f>
        <v>145.63758389261744</v>
      </c>
      <c r="AU11" s="37">
        <f>+Valuation!AV23</f>
        <v>150.60402684563758</v>
      </c>
      <c r="AV11" s="37">
        <f>+Valuation!AW23</f>
        <v>156.51006711409394</v>
      </c>
      <c r="AW11" s="37">
        <f>+Valuation!AX23</f>
        <v>158.38926174496643</v>
      </c>
      <c r="AX11" s="37">
        <f>+Valuation!AY23</f>
        <v>170.33557046979865</v>
      </c>
      <c r="AZ11" s="37">
        <f>+Valuation!BA23</f>
        <v>174.2281879194631</v>
      </c>
      <c r="BA11" s="37">
        <f>+Valuation!BB23</f>
        <v>189.93288590604027</v>
      </c>
      <c r="BB11" s="37">
        <f>+Valuation!BC23</f>
        <v>190.73825503355704</v>
      </c>
      <c r="BC11" s="37">
        <f>+Valuation!BD23</f>
        <v>175.23154362416105</v>
      </c>
      <c r="BE11" s="37">
        <f>+Valuation!BF23</f>
        <v>175.74663758389261</v>
      </c>
      <c r="BF11" s="37">
        <f>+Valuation!BG23</f>
        <v>169.31576510067114</v>
      </c>
      <c r="BG11" s="37"/>
      <c r="BH11" s="37"/>
    </row>
    <row r="12" spans="1:60" ht="12.95" customHeight="1">
      <c r="A12" s="36" t="s">
        <v>132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Q12" s="39">
        <f>+'Segment Data'!U34+'Segment Data'!R34+'Segment Data'!Q34+'Segment Data'!P34</f>
        <v>20.402684563758388</v>
      </c>
      <c r="R12" s="39">
        <f>+'Segment Data'!V34+'Segment Data'!U34+'Segment Data'!R34+'Segment Data'!Q34</f>
        <v>27.919463087248321</v>
      </c>
      <c r="S12" s="39">
        <f>+'Segment Data'!W34+'Segment Data'!V34+'Segment Data'!U34+'Segment Data'!R34</f>
        <v>35.302013422818789</v>
      </c>
      <c r="T12" s="39">
        <f>+'Segment Data'!Y34</f>
        <v>29.798657718120804</v>
      </c>
      <c r="V12" s="39">
        <f>+'Segment Data'!AA34+'Segment Data'!X34+'Segment Data'!W34+'Segment Data'!V34</f>
        <v>28.456375838926174</v>
      </c>
      <c r="W12" s="37">
        <f>+'Segment Data'!AB34+'Segment Data'!AA34+'Segment Data'!X34+'Segment Data'!W34</f>
        <v>22.013422818791945</v>
      </c>
      <c r="X12" s="37">
        <f>+'Segment Data'!AC34+'Segment Data'!AB34+'Segment Data'!AA34+'Segment Data'!X34</f>
        <v>17.04697986577181</v>
      </c>
      <c r="Y12" s="37">
        <f>+'Segment Data'!AE34</f>
        <v>18.255033557046978</v>
      </c>
      <c r="AA12" s="37">
        <f>+'Segment Data'!AG34+'Segment Data'!AD34+'Segment Data'!AC34+'Segment Data'!AB34</f>
        <v>15.436241610738255</v>
      </c>
      <c r="AB12" s="37">
        <f>+'Segment Data'!AH34+'Segment Data'!AG34+'Segment Data'!AD34+'Segment Data'!AC34</f>
        <v>12.751677852348994</v>
      </c>
      <c r="AC12" s="37">
        <f>+'Segment Data'!AI34+'Segment Data'!AH34+'Segment Data'!AG34+'Segment Data'!AD34</f>
        <v>9.9328859060402692</v>
      </c>
      <c r="AD12" s="37">
        <f>+'Segment Data'!AK34</f>
        <v>12.080536912751679</v>
      </c>
      <c r="AF12" s="37">
        <f>+'Segment Data'!AM34+'Segment Data'!AJ34+'Segment Data'!AI34+'Segment Data'!AH34</f>
        <v>13.691275167785236</v>
      </c>
      <c r="AG12" s="37">
        <f>+'Segment Data'!AN34+'Segment Data'!AM34+'Segment Data'!AJ34+'Segment Data'!AI34</f>
        <v>13.422818791946309</v>
      </c>
      <c r="AH12" s="37">
        <f>+'Segment Data'!AO34+'Segment Data'!AN34+'Segment Data'!AM34+'Segment Data'!AJ34</f>
        <v>23.087248322147651</v>
      </c>
      <c r="AI12" s="37">
        <f>+'Segment Data'!AQ34</f>
        <v>21.208053691275168</v>
      </c>
      <c r="AK12" s="37">
        <f>+'Segment Data'!AS34+'Segment Data'!AP34+'Segment Data'!AO34+'Segment Data'!AN34</f>
        <v>17.449664429530202</v>
      </c>
      <c r="AL12" s="37">
        <f>+'Segment Data'!AT34+'Segment Data'!AS34+'Segment Data'!AP34+'Segment Data'!AO34</f>
        <v>14.630872483221475</v>
      </c>
      <c r="AM12" s="37">
        <f>+'Segment Data'!AU34+'Segment Data'!AT34+'Segment Data'!AS34+'Segment Data'!AP34</f>
        <v>2.5503355704697985</v>
      </c>
      <c r="AN12" s="37">
        <f>+'Segment Data'!AW34</f>
        <v>0</v>
      </c>
      <c r="AP12" s="37"/>
      <c r="AQ12" s="37"/>
      <c r="AR12" s="37"/>
      <c r="AS12" s="37"/>
      <c r="AU12" s="37"/>
      <c r="AV12" s="37"/>
      <c r="AW12" s="37"/>
      <c r="AX12" s="37"/>
      <c r="AZ12" s="37"/>
      <c r="BE12" s="37"/>
      <c r="BF12" s="37"/>
    </row>
    <row r="13" spans="1:60" ht="12.95" customHeight="1">
      <c r="A13" s="36" t="s">
        <v>66</v>
      </c>
      <c r="B13" s="39"/>
      <c r="C13" s="39"/>
      <c r="D13" s="39"/>
      <c r="E13" s="39"/>
      <c r="G13" s="39">
        <f>'Segment Data'!D13+'Segment Data'!E13+'Segment Data'!F13+'Segment Data'!I13</f>
        <v>1247.7852348993288</v>
      </c>
      <c r="H13" s="39">
        <f>'Segment Data'!E13+'Segment Data'!F13+'Segment Data'!I13+'Segment Data'!J13</f>
        <v>1320.9395973154362</v>
      </c>
      <c r="I13" s="39">
        <f>'Segment Data'!F13+'Segment Data'!I13+'Segment Data'!J13+'Segment Data'!K13</f>
        <v>1384.2953020134228</v>
      </c>
      <c r="J13" s="39">
        <f>'Segment Data'!I13+'Segment Data'!J13+'Segment Data'!K13+'Segment Data'!L13</f>
        <v>1451.6778523489934</v>
      </c>
      <c r="L13" s="39">
        <f>'Segment Data'!J13+'Segment Data'!K13+'Segment Data'!L13+'Segment Data'!O13</f>
        <v>1548.0536912751677</v>
      </c>
      <c r="M13" s="39">
        <f>'Segment Data'!K13+'Segment Data'!L13+'Segment Data'!O13+'Segment Data'!P13</f>
        <v>1652.0805369127515</v>
      </c>
      <c r="N13" s="39">
        <f>'Segment Data'!L13+'Segment Data'!O13+'Segment Data'!P13+'Segment Data'!Q13</f>
        <v>1739.7315436241611</v>
      </c>
      <c r="O13" s="39">
        <v>13525</v>
      </c>
      <c r="Q13" s="39">
        <f>+'Segment Data'!U13+'Segment Data'!R13+'Segment Data'!Q13+'Segment Data'!P13</f>
        <v>1847.1140939597317</v>
      </c>
      <c r="R13" s="39">
        <f>+'Segment Data'!V13+'Segment Data'!U13+'Segment Data'!R13+'Segment Data'!Q13</f>
        <v>1870.8724832214766</v>
      </c>
      <c r="S13" s="39">
        <f>+'Segment Data'!W13+'Segment Data'!V13+'Segment Data'!U13+'Segment Data'!R13</f>
        <v>1893.959731543624</v>
      </c>
      <c r="T13" s="39">
        <f>+'Segment Data'!Y13</f>
        <v>1856.1073825503356</v>
      </c>
      <c r="V13" s="40">
        <f>+'Segment Data'!AA13+'Segment Data'!X13+'Segment Data'!W13+'Segment Data'!V13</f>
        <v>1757.9865771812078</v>
      </c>
      <c r="W13" s="39">
        <f>+'Segment Data'!W13+'Segment Data'!X13+'Segment Data'!AA13+'Segment Data'!AB13</f>
        <v>1671.4093959731542</v>
      </c>
      <c r="X13" s="39">
        <f>+'Segment Data'!X13+'Segment Data'!AA13+'Segment Data'!AB13+'Segment Data'!AC13</f>
        <v>1597.9865771812081</v>
      </c>
      <c r="Y13" s="37">
        <f>'Segment Data'!AE13</f>
        <v>1568.724832214765</v>
      </c>
      <c r="AA13" s="37">
        <f>'Segment Data'!AG13+'Segment Data'!AD13+'Segment Data'!AC13+'Segment Data'!AB13</f>
        <v>1626.0402684563758</v>
      </c>
      <c r="AB13" s="37">
        <f>+'Segment Data'!AH13+'Segment Data'!AG13+'Segment Data'!AD13+'Segment Data'!AC13</f>
        <v>1691.9463087248321</v>
      </c>
      <c r="AC13" s="39">
        <f>+'Segment Data'!AI13+'Segment Data'!AH13+'Segment Data'!AG13+'Segment Data'!AD13</f>
        <v>1791.8120805369126</v>
      </c>
      <c r="AD13" s="39">
        <f>+'Segment Data'!AK13</f>
        <v>1939.7315436241608</v>
      </c>
      <c r="AF13" s="37">
        <f>'Segment Data'!AM13+'Segment Data'!AJ13+'Segment Data'!AI13+'Segment Data'!AH13+1</f>
        <v>2036.3020134228186</v>
      </c>
      <c r="AG13" s="37">
        <f>+'Segment Data'!AN13+'Segment Data'!AM13+'Segment Data'!AJ13+'Segment Data'!AI13</f>
        <v>2086.4429530201342</v>
      </c>
      <c r="AH13" s="37">
        <f>+'Segment Data'!AO13+'Segment Data'!AN13+'Segment Data'!AM13+'Segment Data'!AJ13</f>
        <v>2111.5436241610741</v>
      </c>
      <c r="AI13" s="37">
        <f>+'Segment Data'!AQ13</f>
        <v>2094.4966442953018</v>
      </c>
      <c r="AK13" s="39">
        <f>+'Segment Data'!AS13+'Segment Data'!AP13+'Segment Data'!AO13+'Segment Data'!AN13</f>
        <v>2061.8791946308729</v>
      </c>
      <c r="AL13" s="37">
        <f>+'Segment Data'!AT13+'Segment Data'!AS13+'Segment Data'!AP13+'Segment Data'!AO13</f>
        <v>2046.8456375838928</v>
      </c>
      <c r="AM13" s="37">
        <f>+'Segment Data'!AU13+'Segment Data'!AT13+'Segment Data'!AS13+'Segment Data'!AP13</f>
        <v>2033.9597315436245</v>
      </c>
      <c r="AN13" s="37">
        <f>+'Segment Data'!AW13</f>
        <v>2047.3825503355706</v>
      </c>
      <c r="AP13" s="39">
        <f>+'Segment Data'!AY13+'Segment Data'!AV13+'Segment Data'!AU13+'Segment Data'!AT13</f>
        <v>2044.429530201342</v>
      </c>
      <c r="AQ13" s="37">
        <f>+'Segment Data'!AZ13+'Segment Data'!AY13+'Segment Data'!AV13+'Segment Data'!AU13</f>
        <v>2062.4161073825503</v>
      </c>
      <c r="AR13" s="37">
        <f>+'Segment Data'!BA13+'Segment Data'!AZ13+'Segment Data'!AY13+'Segment Data'!AV13</f>
        <v>2097.44966442953</v>
      </c>
      <c r="AS13" s="37">
        <f>+'Segment Data'!BC13</f>
        <v>2122.0134228187917</v>
      </c>
      <c r="AU13" s="37">
        <f>+'Segment Data'!AZ13+'Segment Data'!BA13+'Segment Data'!BB13+'Segment Data'!BE13</f>
        <v>2169.7986577181209</v>
      </c>
      <c r="AV13" s="37">
        <f>+'Segment Data'!BA13+'Segment Data'!BB13+'Segment Data'!BE13+'Segment Data'!BF13</f>
        <v>2168.4563758389263</v>
      </c>
      <c r="AW13" s="37">
        <f>+'Segment Data'!BG13+'Segment Data'!BF13+'Segment Data'!BE13+'Segment Data'!BB13</f>
        <v>2150.8724832214766</v>
      </c>
      <c r="AX13" s="37">
        <f>+'Segment Data'!BI13</f>
        <v>2129.2617449664426</v>
      </c>
      <c r="AZ13" s="37">
        <f>+'Segment Data'!BK13+'Segment Data'!BH13+'Segment Data'!BG13+'Segment Data'!BF13</f>
        <v>2169.3959731543628</v>
      </c>
      <c r="BA13" s="37">
        <f>+'Segment Data'!BL13+'Segment Data'!BK13+'Segment Data'!BH13+'Segment Data'!BG13</f>
        <v>2228.8590604026845</v>
      </c>
      <c r="BB13" s="37">
        <f>+'Segment Data'!BM13+'Segment Data'!BL13+'Segment Data'!BK13+'Segment Data'!BH13</f>
        <v>2222.6845637583892</v>
      </c>
      <c r="BC13" s="37">
        <f>+'Segment Data'!BO13</f>
        <v>2223.55033557047</v>
      </c>
      <c r="BE13" s="37">
        <f>+'Segment Data'!BQ13+'Segment Data'!BN13+'Segment Data'!BM13+'Segment Data'!BL13</f>
        <v>2150.2241610738256</v>
      </c>
      <c r="BF13" s="37">
        <f>+'Segment Data'!BR13+'Segment Data'!BQ13+'Segment Data'!BN13+'Segment Data'!BM13</f>
        <v>2103.2899328859062</v>
      </c>
      <c r="BG13" s="37"/>
      <c r="BH13" s="37"/>
    </row>
    <row r="14" spans="1:60" ht="12.95" customHeight="1" thickBot="1">
      <c r="A14" s="36" t="s">
        <v>74</v>
      </c>
      <c r="E14" s="39"/>
      <c r="G14" s="39">
        <f>+'Segment Data'!I16+'Segment Data'!F16+'Segment Data'!E16+'Segment Data'!D16</f>
        <v>1146.3087248322149</v>
      </c>
      <c r="H14" s="39">
        <f>+'Segment Data'!J16+'Segment Data'!I16+'Segment Data'!F16+'Segment Data'!E16</f>
        <v>1172.3489932885907</v>
      </c>
      <c r="I14" s="39">
        <f>+'Segment Data'!K16+'Segment Data'!J16+'Segment Data'!I16+'Segment Data'!F16</f>
        <v>1185.9060402684563</v>
      </c>
      <c r="J14" s="39">
        <f>+'Segment Data'!L16+'Segment Data'!K16+'Segment Data'!J16+'Segment Data'!I16</f>
        <v>1208.0536912751677</v>
      </c>
      <c r="L14" s="39">
        <f>+'Segment Data'!O16+'Segment Data'!L16+'Segment Data'!K16+'Segment Data'!J16</f>
        <v>1260.4026845637586</v>
      </c>
      <c r="M14" s="39">
        <f>+'Segment Data'!P16+'Segment Data'!O16+'Segment Data'!L16+'Segment Data'!K16</f>
        <v>1328.9932885906042</v>
      </c>
      <c r="N14" s="39">
        <f>+'Segment Data'!Q16+'Segment Data'!P16+'Segment Data'!O16+'Segment Data'!L16</f>
        <v>1388.1879194630874</v>
      </c>
      <c r="O14" s="37">
        <f>+'Segment Data'!R16+'Segment Data'!Q16+'Segment Data'!P16+'Segment Data'!O16</f>
        <v>1449.3959731543623</v>
      </c>
      <c r="Q14" s="39">
        <f>+'Segment Data'!U16+'Segment Data'!R16+'Segment Data'!Q16+'Segment Data'!P16</f>
        <v>1470.8724832214766</v>
      </c>
      <c r="R14" s="39">
        <f>+'Segment Data'!V16+'Segment Data'!U16+'Segment Data'!R16+'Segment Data'!Q16</f>
        <v>1499.3288590604025</v>
      </c>
      <c r="S14" s="37">
        <f>+'Segment Data'!W16+'Segment Data'!V16+'Segment Data'!U16+'Segment Data'!R16</f>
        <v>1525.5033557046979</v>
      </c>
      <c r="T14" s="37">
        <f>+'Segment Data'!Y16</f>
        <v>1513.1543624161072</v>
      </c>
      <c r="V14" s="39">
        <f>+'Segment Data'!AA16+'Segment Data'!X16+'Segment Data'!W16+'Segment Data'!V16</f>
        <v>1465.3691275167785</v>
      </c>
      <c r="W14" s="39">
        <f>+'Segment Data'!W16+'Segment Data'!X16+'Segment Data'!AA16+'Segment Data'!AB16</f>
        <v>1413.020134228188</v>
      </c>
      <c r="X14" s="39">
        <f>+'Segment Data'!X16+'Segment Data'!AA16+'Segment Data'!AB16+'Segment Data'!AC16</f>
        <v>1365.9060402684563</v>
      </c>
      <c r="Y14" s="37">
        <f>'Segment Data'!AE16</f>
        <v>1335.5704697986578</v>
      </c>
      <c r="AA14" s="37">
        <f>'Segment Data'!AG16+'Segment Data'!AD16+'Segment Data'!AC16+'Segment Data'!AB16</f>
        <v>1355.8389261744965</v>
      </c>
      <c r="AB14" s="37">
        <f>+'Segment Data'!AH16+'Segment Data'!AG16+'Segment Data'!AD16+'Segment Data'!AC16</f>
        <v>1391.0067114093958</v>
      </c>
      <c r="AC14" s="39">
        <f>+'Segment Data'!AI16+'Segment Data'!AH16+'Segment Data'!AG16+'Segment Data'!AD16</f>
        <v>1455.4362416107383</v>
      </c>
      <c r="AD14" s="39">
        <f>+'Segment Data'!AK16</f>
        <v>1540.6711409395973</v>
      </c>
      <c r="AF14" s="37">
        <f>'Segment Data'!AM16+'Segment Data'!AJ16+'Segment Data'!AI16+'Segment Data'!AH16+1</f>
        <v>1591.2013422818793</v>
      </c>
      <c r="AG14" s="37">
        <f>+'Segment Data'!AN16+'Segment Data'!AM16+'Segment Data'!AJ16+'Segment Data'!AI16</f>
        <v>1606.8456375838928</v>
      </c>
      <c r="AH14" s="37">
        <f>+'Segment Data'!AO16+'Segment Data'!AN16+'Segment Data'!AM16+'Segment Data'!AJ16</f>
        <v>1618.1208053691275</v>
      </c>
      <c r="AI14" s="37">
        <f>+'Segment Data'!AQ16</f>
        <v>1631.0067114093963</v>
      </c>
      <c r="AK14" s="39">
        <f>+'Segment Data'!AS16+'Segment Data'!AP16+'Segment Data'!AO16+'Segment Data'!AN16</f>
        <v>1623.3557046979868</v>
      </c>
      <c r="AL14" s="37">
        <f>+'Segment Data'!AT16+'Segment Data'!AS16+'Segment Data'!AP16+'Segment Data'!AO16</f>
        <v>1623.6241610738257</v>
      </c>
      <c r="AM14" s="37">
        <f>+'Segment Data'!AU16+'Segment Data'!AT16+'Segment Data'!AS16+'Segment Data'!AP16</f>
        <v>1624.8322147651011</v>
      </c>
      <c r="AN14" s="37">
        <f>+'Segment Data'!AW16</f>
        <v>1630.6040268456377</v>
      </c>
      <c r="AP14" s="39">
        <f>+'Segment Data'!AY16+'Segment Data'!AV16+'Segment Data'!AU16+'Segment Data'!AT16</f>
        <v>1637.7181208053692</v>
      </c>
      <c r="AQ14" s="37">
        <f>+'Segment Data'!AZ16+'Segment Data'!AY16+'Segment Data'!AV16+'Segment Data'!AU16</f>
        <v>1662.5503355704695</v>
      </c>
      <c r="AR14" s="37">
        <f>+'Segment Data'!BA16+'Segment Data'!AZ16+'Segment Data'!AY16+'Segment Data'!AV16</f>
        <v>1695.5704697986575</v>
      </c>
      <c r="AS14" s="37">
        <f>+'Segment Data'!BC16</f>
        <v>1723.8926174496644</v>
      </c>
      <c r="AU14" s="37">
        <f>+'Segment Data'!BE16+'Segment Data'!BB16+'Segment Data'!BA16+'Segment Data'!AZ16</f>
        <v>1766.8456375838928</v>
      </c>
      <c r="AV14" s="37">
        <f>+'Segment Data'!BA16+'Segment Data'!BB16+'Segment Data'!BE16+'Segment Data'!BF16</f>
        <v>1776.6442953020137</v>
      </c>
      <c r="AW14" s="37">
        <f>+'Segment Data'!BG16+'Segment Data'!BF16+'Segment Data'!BE16+'Segment Data'!BB16</f>
        <v>1776.510067114094</v>
      </c>
      <c r="AX14" s="37">
        <f>+'Segment Data'!BI16</f>
        <v>1769.1275167785234</v>
      </c>
      <c r="AZ14" s="37">
        <f>+'Segment Data'!BK16+'Segment Data'!BH16+'Segment Data'!BG16+'Segment Data'!BF16</f>
        <v>1808.8590604026845</v>
      </c>
      <c r="BA14" s="37">
        <f>+'Segment Data'!BL16+'Segment Data'!BK16+'Segment Data'!BH16+'Segment Data'!BG16</f>
        <v>1855.4362416107381</v>
      </c>
      <c r="BB14" s="37">
        <f>+'Segment Data'!BM16+'Segment Data'!BL16+'Segment Data'!BK16+'Segment Data'!BH16</f>
        <v>1853.6912751677851</v>
      </c>
      <c r="BC14" s="37">
        <f>+'Segment Data'!BO16</f>
        <v>1869.1973154362418</v>
      </c>
      <c r="BE14" s="37">
        <f>+'Segment Data'!BQ16+'Segment Data'!BN16+'Segment Data'!BM16+'Segment Data'!BL16</f>
        <v>1828.6543624161072</v>
      </c>
      <c r="BF14" s="37">
        <f>+'Segment Data'!BR16+'Segment Data'!BQ16+'Segment Data'!BN16+'Segment Data'!BM16</f>
        <v>1819.6577181208054</v>
      </c>
      <c r="BG14" s="37"/>
      <c r="BH14" s="37"/>
    </row>
    <row r="15" spans="1:60" s="84" customFormat="1"/>
    <row r="16" spans="1:60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7:20">
      <c r="Q17" s="39"/>
      <c r="R17" s="39"/>
      <c r="S17" s="37"/>
      <c r="T17" s="37"/>
    </row>
  </sheetData>
  <mergeCells count="12">
    <mergeCell ref="BE2:BH2"/>
    <mergeCell ref="B2:E2"/>
    <mergeCell ref="G2:J2"/>
    <mergeCell ref="AU2:AX2"/>
    <mergeCell ref="AZ2:BC2"/>
    <mergeCell ref="V2:Y2"/>
    <mergeCell ref="Q2:T2"/>
    <mergeCell ref="L2:O2"/>
    <mergeCell ref="AF2:AI2"/>
    <mergeCell ref="AP2:AS2"/>
    <mergeCell ref="AK2:AN2"/>
    <mergeCell ref="AA2:AD2"/>
  </mergeCells>
  <phoneticPr fontId="2" type="noConversion"/>
  <printOptions verticalCentered="1"/>
  <pageMargins left="0.94488188976377963" right="0.9055118110236221" top="0.9055118110236221" bottom="0.70866141732283472" header="0.51181102362204722" footer="0.19685039370078741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Oper EBITDA Graph</vt:lpstr>
      <vt:lpstr>' Financial Highlights'!Print_Area</vt:lpstr>
      <vt:lpstr>'Balance Sheet'!Print_Area</vt:lpstr>
      <vt:lpstr>Cashflow!Print_Area</vt:lpstr>
      <vt:lpstr>'Front Page'!Print_Area</vt:lpstr>
      <vt:lpstr>'Oper EBITDA Graph'!Print_Area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'Oper EBITDA Graph'!Print_Titles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jellebo</cp:lastModifiedBy>
  <cp:lastPrinted>2016-08-01T13:27:00Z</cp:lastPrinted>
  <dcterms:created xsi:type="dcterms:W3CDTF">2003-02-28T10:07:39Z</dcterms:created>
  <dcterms:modified xsi:type="dcterms:W3CDTF">2016-08-17T08:53:49Z</dcterms:modified>
</cp:coreProperties>
</file>