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Q:\PUBLIC\Annual and interim reports\2025\Q3 2025\Quarterly Figures\"/>
    </mc:Choice>
  </mc:AlternateContent>
  <xr:revisionPtr revIDLastSave="0" documentId="13_ncr:1_{923F15C3-3564-48B1-B069-C0B2F61E3DB2}" xr6:coauthVersionLast="47" xr6:coauthVersionMax="47" xr10:uidLastSave="{00000000-0000-0000-0000-000000000000}"/>
  <bookViews>
    <workbookView xWindow="-135" yWindow="-135" windowWidth="29070" windowHeight="15750" tabRatio="758" xr2:uid="{00000000-000D-0000-FFFF-FFFF00000000}"/>
  </bookViews>
  <sheets>
    <sheet name="Front Page" sheetId="5" r:id="rId1"/>
    <sheet name=" Financial Highlights" sheetId="1" r:id="rId2"/>
    <sheet name="Balance Sheet" sheetId="2" r:id="rId3"/>
    <sheet name="Cashflow" sheetId="3" r:id="rId4"/>
    <sheet name="Segment Data 2017-2025" sheetId="7" r:id="rId5"/>
    <sheet name="OLD Segment Data 2005-2019" sheetId="4" r:id="rId6"/>
    <sheet name="OLD Valuation 2005-2019" sheetId="6" r:id="rId7"/>
  </sheets>
  <definedNames>
    <definedName name="_xlnm.Print_Area" localSheetId="1">' Financial Highlights'!$BV$3:$CM$49</definedName>
    <definedName name="_xlnm.Print_Area" localSheetId="2">'Balance Sheet'!$BJ$4:$BX$53</definedName>
    <definedName name="_xlnm.Print_Area" localSheetId="3">Cashflow!$BV$5:$CM$21</definedName>
    <definedName name="_xlnm.Print_Area" localSheetId="0">'Front Page'!$A$1:$N$25</definedName>
    <definedName name="_xlnm.Print_Area" localSheetId="5">'OLD Segment Data 2005-2019'!$BV$4:$CM$85</definedName>
    <definedName name="_xlnm.Print_Area" localSheetId="6">'OLD Valuation 2005-2019'!$BJ$4:$BX$38</definedName>
    <definedName name="_xlnm.Print_Area" localSheetId="4">'Segment Data 2017-2025'!$C$4:$S$107</definedName>
    <definedName name="_xlnm.Print_Titles" localSheetId="1">' Financial Highlights'!$A:$A,' Financial Highlights'!$1:$3</definedName>
    <definedName name="_xlnm.Print_Titles" localSheetId="2">'Balance Sheet'!$A:$A,'Balance Sheet'!$1:$3</definedName>
    <definedName name="_xlnm.Print_Titles" localSheetId="3">Cashflow!$A:$A,Cashflow!$1:$4</definedName>
    <definedName name="_xlnm.Print_Titles" localSheetId="5">'OLD Segment Data 2005-2019'!$A:$A,'OLD Segment Data 2005-2019'!$1:$3</definedName>
    <definedName name="_xlnm.Print_Titles" localSheetId="6">'OLD Valuation 2005-2019'!$A:$A,'OLD Valuation 2005-2019'!$1:$3</definedName>
    <definedName name="_xlnm.Print_Titles" localSheetId="4">'Segment Data 2017-2025'!$A:$A,'Segment Data 2017-2025'!$1:$3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U10" i="3" l="1"/>
  <c r="DW47" i="1"/>
  <c r="DW46" i="1"/>
  <c r="DA42" i="2"/>
  <c r="CZ47" i="2" l="1"/>
  <c r="DA47" i="2" s="1"/>
  <c r="DW43" i="1"/>
  <c r="DW42" i="1"/>
  <c r="DW41" i="1"/>
  <c r="DU46" i="1"/>
  <c r="DU37" i="1"/>
  <c r="DW32" i="1"/>
  <c r="DW31" i="1"/>
  <c r="DW29" i="1"/>
  <c r="DW28" i="1"/>
  <c r="DW27" i="1"/>
  <c r="DA32" i="2"/>
  <c r="DA29" i="2"/>
  <c r="DA25" i="2"/>
  <c r="DA12" i="2"/>
  <c r="DA17" i="2"/>
  <c r="DA8" i="2"/>
  <c r="DA6" i="2"/>
  <c r="DA34" i="2" l="1"/>
  <c r="DU30" i="1" s="1"/>
  <c r="DW30" i="1" s="1"/>
  <c r="DA9" i="2"/>
  <c r="DA19" i="2" s="1"/>
  <c r="BC89" i="7"/>
  <c r="BC75" i="7"/>
  <c r="BC74" i="7"/>
  <c r="BC73" i="7"/>
  <c r="BC72" i="7"/>
  <c r="BA76" i="7"/>
  <c r="BC76" i="7" s="1"/>
  <c r="BA67" i="7"/>
  <c r="BA47" i="7"/>
  <c r="BA52" i="7" s="1"/>
  <c r="BA30" i="7"/>
  <c r="BA20" i="7"/>
  <c r="BA10" i="7"/>
  <c r="CZ12" i="2"/>
  <c r="BC67" i="7" l="1"/>
  <c r="DT28" i="1"/>
  <c r="DT46" i="1" s="1"/>
  <c r="DT37" i="1"/>
  <c r="CZ44" i="2"/>
  <c r="DA44" i="2" s="1"/>
  <c r="CZ42" i="2"/>
  <c r="CZ32" i="2"/>
  <c r="CZ29" i="2"/>
  <c r="CZ25" i="2"/>
  <c r="CZ17" i="2"/>
  <c r="CZ8" i="2"/>
  <c r="CZ6" i="2"/>
  <c r="DT10" i="3"/>
  <c r="AZ76" i="7"/>
  <c r="AZ67" i="7"/>
  <c r="AZ47" i="7"/>
  <c r="AZ52" i="7" s="1"/>
  <c r="AZ30" i="7"/>
  <c r="AZ38" i="7" s="1"/>
  <c r="DT6" i="3" s="1"/>
  <c r="DT11" i="3" s="1"/>
  <c r="DT36" i="1" s="1"/>
  <c r="AZ20" i="7"/>
  <c r="AZ10" i="7"/>
  <c r="CY29" i="2"/>
  <c r="CY46" i="2"/>
  <c r="CZ46" i="2" s="1"/>
  <c r="DA46" i="2" s="1"/>
  <c r="CY6" i="2"/>
  <c r="DS32" i="1"/>
  <c r="CY32" i="2"/>
  <c r="CY12" i="2"/>
  <c r="CY17" i="2" s="1"/>
  <c r="DS10" i="3"/>
  <c r="DS46" i="1"/>
  <c r="CY8" i="2"/>
  <c r="DW45" i="1"/>
  <c r="DW7" i="3"/>
  <c r="AY76" i="7"/>
  <c r="BC57" i="7"/>
  <c r="AY47" i="7"/>
  <c r="AY52" i="7" s="1"/>
  <c r="BC46" i="7"/>
  <c r="BC45" i="7"/>
  <c r="BC44" i="7"/>
  <c r="BC43" i="7"/>
  <c r="DU7" i="1"/>
  <c r="DU11" i="1" s="1"/>
  <c r="DU14" i="1" s="1"/>
  <c r="DU16" i="1" s="1"/>
  <c r="DU19" i="1" s="1"/>
  <c r="DU21" i="1" s="1"/>
  <c r="BC35" i="7"/>
  <c r="AY30" i="7"/>
  <c r="BC30" i="7" s="1"/>
  <c r="BC28" i="7"/>
  <c r="BC27" i="7"/>
  <c r="BC26" i="7"/>
  <c r="AY20" i="7"/>
  <c r="BC19" i="7"/>
  <c r="BC18" i="7"/>
  <c r="BC17" i="7"/>
  <c r="BC16" i="7"/>
  <c r="AY10" i="7"/>
  <c r="BC9" i="7"/>
  <c r="BC8" i="7"/>
  <c r="BC7" i="7"/>
  <c r="BC6" i="7"/>
  <c r="DU19" i="3"/>
  <c r="DT19" i="3"/>
  <c r="DS19" i="3"/>
  <c r="DW18" i="3"/>
  <c r="DW15" i="3"/>
  <c r="DW13" i="3"/>
  <c r="DU6" i="3"/>
  <c r="DU11" i="3" s="1"/>
  <c r="DU36" i="1" s="1"/>
  <c r="CY25" i="2"/>
  <c r="DS37" i="1"/>
  <c r="DU24" i="1"/>
  <c r="DT24" i="1"/>
  <c r="DW20" i="1"/>
  <c r="DW18" i="1"/>
  <c r="DW17" i="1"/>
  <c r="DW15" i="1"/>
  <c r="DW12" i="1"/>
  <c r="DW10" i="1"/>
  <c r="DW9" i="1"/>
  <c r="DW8" i="1"/>
  <c r="DV7" i="1"/>
  <c r="DV5" i="1"/>
  <c r="DU5" i="1"/>
  <c r="DT5" i="1"/>
  <c r="BC20" i="7" l="1"/>
  <c r="DW24" i="1" s="1"/>
  <c r="CZ9" i="2"/>
  <c r="BC10" i="7"/>
  <c r="CZ19" i="2"/>
  <c r="DW10" i="3"/>
  <c r="CZ34" i="2"/>
  <c r="DT30" i="1" s="1"/>
  <c r="BC52" i="7"/>
  <c r="CY9" i="2"/>
  <c r="CY19" i="2" s="1"/>
  <c r="CY34" i="2"/>
  <c r="DW37" i="1"/>
  <c r="DU21" i="3"/>
  <c r="DW19" i="3"/>
  <c r="AY38" i="7"/>
  <c r="DS6" i="3" s="1"/>
  <c r="DS11" i="3" s="1"/>
  <c r="DS36" i="1" s="1"/>
  <c r="DW36" i="1" s="1"/>
  <c r="DS24" i="1"/>
  <c r="DS5" i="1"/>
  <c r="DW5" i="1" s="1"/>
  <c r="BC38" i="7"/>
  <c r="BC62" i="7"/>
  <c r="DT7" i="1"/>
  <c r="DT11" i="1" s="1"/>
  <c r="DT14" i="1" s="1"/>
  <c r="DT16" i="1" s="1"/>
  <c r="DT19" i="1" s="1"/>
  <c r="DT21" i="1" s="1"/>
  <c r="BC47" i="7"/>
  <c r="DT21" i="3"/>
  <c r="DW6" i="3"/>
  <c r="DV11" i="1"/>
  <c r="DV14" i="1" s="1"/>
  <c r="DV16" i="1" s="1"/>
  <c r="DV19" i="1" s="1"/>
  <c r="DV21" i="1" s="1"/>
  <c r="CV32" i="2"/>
  <c r="CV26" i="2"/>
  <c r="DW11" i="3" l="1"/>
  <c r="DW21" i="3" s="1"/>
  <c r="DT41" i="1"/>
  <c r="DS30" i="1"/>
  <c r="DS41" i="1" s="1"/>
  <c r="DS21" i="3"/>
  <c r="DS7" i="1"/>
  <c r="DS11" i="1" s="1"/>
  <c r="DS14" i="1" s="1"/>
  <c r="DS16" i="1" s="1"/>
  <c r="DS19" i="1" s="1"/>
  <c r="DS21" i="1" s="1"/>
  <c r="DW7" i="1"/>
  <c r="DP37" i="1"/>
  <c r="DQ47" i="1"/>
  <c r="DQ46" i="1"/>
  <c r="DQ45" i="1"/>
  <c r="DQ44" i="1"/>
  <c r="DQ43" i="1"/>
  <c r="DQ42" i="1"/>
  <c r="DQ41" i="1"/>
  <c r="DQ32" i="1"/>
  <c r="DQ31" i="1"/>
  <c r="DQ30" i="1"/>
  <c r="DQ29" i="1"/>
  <c r="DQ28" i="1"/>
  <c r="DQ27" i="1"/>
  <c r="DQ18" i="1"/>
  <c r="DQ8" i="1"/>
  <c r="DQ9" i="1"/>
  <c r="CW50" i="2"/>
  <c r="CW32" i="2"/>
  <c r="CW25" i="2"/>
  <c r="CW12" i="2"/>
  <c r="CW17" i="2" s="1"/>
  <c r="CW8" i="2"/>
  <c r="CW6" i="2"/>
  <c r="DQ10" i="3"/>
  <c r="DQ7" i="3"/>
  <c r="DQ15" i="3"/>
  <c r="DQ18" i="3"/>
  <c r="DQ13" i="3"/>
  <c r="AW103" i="7"/>
  <c r="AW89" i="7"/>
  <c r="AW75" i="7"/>
  <c r="AW74" i="7"/>
  <c r="AW73" i="7"/>
  <c r="AW72" i="7"/>
  <c r="CW9" i="2" l="1"/>
  <c r="CW19" i="2" s="1"/>
  <c r="CW34" i="2"/>
  <c r="DW11" i="1"/>
  <c r="DW14" i="1" s="1"/>
  <c r="DW16" i="1" s="1"/>
  <c r="DW19" i="1" s="1"/>
  <c r="DW21" i="1" s="1"/>
  <c r="DQ17" i="1"/>
  <c r="DQ15" i="1"/>
  <c r="DQ10" i="1"/>
  <c r="DO46" i="1"/>
  <c r="CV34" i="2" l="1"/>
  <c r="CV12" i="2"/>
  <c r="CV17" i="2" s="1"/>
  <c r="CV8" i="2"/>
  <c r="CV9" i="2" s="1"/>
  <c r="CV19" i="2" l="1"/>
  <c r="AW83" i="7"/>
  <c r="AW57" i="7"/>
  <c r="AW46" i="7"/>
  <c r="AW45" i="7"/>
  <c r="AW44" i="7"/>
  <c r="AW43" i="7"/>
  <c r="AW28" i="7"/>
  <c r="AW27" i="7"/>
  <c r="AW26" i="7"/>
  <c r="AW19" i="7"/>
  <c r="AW18" i="7"/>
  <c r="AW17" i="7"/>
  <c r="AW16" i="7"/>
  <c r="AW9" i="7"/>
  <c r="AW8" i="7"/>
  <c r="AW7" i="7"/>
  <c r="AW6" i="7"/>
  <c r="DN46" i="1"/>
  <c r="DM46" i="1"/>
  <c r="AT62" i="7" l="1"/>
  <c r="AW62" i="7" s="1"/>
  <c r="CU28" i="2"/>
  <c r="CU32" i="2"/>
  <c r="CU12" i="2"/>
  <c r="CU8" i="2"/>
  <c r="DN10" i="3"/>
  <c r="DN32" i="1" l="1"/>
  <c r="CU47" i="2"/>
  <c r="CU34" i="2"/>
  <c r="DN30" i="1" s="1"/>
  <c r="CU17" i="2"/>
  <c r="CU9" i="2"/>
  <c r="AT67" i="7"/>
  <c r="AW35" i="7"/>
  <c r="CU19" i="2" l="1"/>
  <c r="DM10" i="3"/>
  <c r="DP10" i="3" s="1"/>
  <c r="DQ19" i="3"/>
  <c r="DN19" i="3"/>
  <c r="DO19" i="3"/>
  <c r="CT44" i="2"/>
  <c r="CU44" i="2" s="1"/>
  <c r="CT32" i="2"/>
  <c r="CT26" i="2"/>
  <c r="CT12" i="2"/>
  <c r="CT17" i="2" s="1"/>
  <c r="CT8" i="2"/>
  <c r="CT9" i="2" s="1"/>
  <c r="AV76" i="7"/>
  <c r="AW76" i="7" s="1"/>
  <c r="AU76" i="7"/>
  <c r="AT76" i="7"/>
  <c r="AS76" i="7"/>
  <c r="AV47" i="7"/>
  <c r="AU47" i="7"/>
  <c r="AT47" i="7"/>
  <c r="AT52" i="7" s="1"/>
  <c r="AS47" i="7"/>
  <c r="AS52" i="7" s="1"/>
  <c r="AU30" i="7"/>
  <c r="AT30" i="7"/>
  <c r="AS30" i="7"/>
  <c r="AS38" i="7" s="1"/>
  <c r="DM6" i="3" s="1"/>
  <c r="AV30" i="7"/>
  <c r="AU20" i="7"/>
  <c r="AT20" i="7"/>
  <c r="DN24" i="1" s="1"/>
  <c r="AS20" i="7"/>
  <c r="DM24" i="1" s="1"/>
  <c r="AV20" i="7"/>
  <c r="AU10" i="7"/>
  <c r="AT10" i="7"/>
  <c r="DN5" i="1" s="1"/>
  <c r="AS10" i="7"/>
  <c r="DM5" i="1" s="1"/>
  <c r="AV10" i="7"/>
  <c r="DP5" i="1" s="1"/>
  <c r="DM19" i="3"/>
  <c r="CT25" i="2"/>
  <c r="DO37" i="1"/>
  <c r="DN37" i="1"/>
  <c r="DM37" i="1"/>
  <c r="DQ20" i="1"/>
  <c r="DQ12" i="1"/>
  <c r="AP89" i="7"/>
  <c r="DQ37" i="1" l="1"/>
  <c r="AW47" i="7"/>
  <c r="AT38" i="7"/>
  <c r="DN6" i="3" s="1"/>
  <c r="AW20" i="7"/>
  <c r="DQ24" i="1" s="1"/>
  <c r="DO24" i="1"/>
  <c r="AU52" i="7"/>
  <c r="AW52" i="7" s="1"/>
  <c r="AU38" i="7"/>
  <c r="DO6" i="3" s="1"/>
  <c r="DO11" i="3" s="1"/>
  <c r="DO21" i="3" s="1"/>
  <c r="AW30" i="7"/>
  <c r="DO5" i="1"/>
  <c r="DQ5" i="1" s="1"/>
  <c r="AW10" i="7"/>
  <c r="DM11" i="3"/>
  <c r="DM36" i="1" s="1"/>
  <c r="DP19" i="3"/>
  <c r="DM7" i="1"/>
  <c r="DM11" i="1" s="1"/>
  <c r="CT34" i="2"/>
  <c r="DM30" i="1" s="1"/>
  <c r="DM41" i="1" s="1"/>
  <c r="AV38" i="7"/>
  <c r="DP6" i="3" s="1"/>
  <c r="DP7" i="1"/>
  <c r="DP11" i="1" s="1"/>
  <c r="DN7" i="1"/>
  <c r="DN11" i="1" s="1"/>
  <c r="DN14" i="1" s="1"/>
  <c r="DN16" i="1" s="1"/>
  <c r="DN19" i="1" s="1"/>
  <c r="DN21" i="1" s="1"/>
  <c r="CT19" i="2"/>
  <c r="AJ89" i="7"/>
  <c r="DK21" i="3"/>
  <c r="DQ6" i="3" l="1"/>
  <c r="DQ11" i="3" s="1"/>
  <c r="DQ21" i="3" s="1"/>
  <c r="DO7" i="1"/>
  <c r="DO11" i="1" s="1"/>
  <c r="DO14" i="1" s="1"/>
  <c r="DO16" i="1" s="1"/>
  <c r="DO19" i="1" s="1"/>
  <c r="DO21" i="1" s="1"/>
  <c r="DP14" i="1"/>
  <c r="DP16" i="1" s="1"/>
  <c r="DP19" i="1" s="1"/>
  <c r="DP21" i="1" s="1"/>
  <c r="DQ11" i="1"/>
  <c r="DN11" i="3"/>
  <c r="DM14" i="1"/>
  <c r="DM16" i="1" s="1"/>
  <c r="DM19" i="1" s="1"/>
  <c r="DM21" i="1" s="1"/>
  <c r="AW38" i="7"/>
  <c r="DM21" i="3"/>
  <c r="DP11" i="3"/>
  <c r="DK15" i="3"/>
  <c r="DQ7" i="1" l="1"/>
  <c r="DQ14" i="1" s="1"/>
  <c r="DQ16" i="1" s="1"/>
  <c r="DQ19" i="1" s="1"/>
  <c r="DQ21" i="1" s="1"/>
  <c r="DP21" i="3"/>
  <c r="DP36" i="1"/>
  <c r="DN21" i="3"/>
  <c r="DN36" i="1"/>
  <c r="DJ29" i="1"/>
  <c r="DJ41" i="1" s="1"/>
  <c r="DJ44" i="1"/>
  <c r="DK36" i="1"/>
  <c r="DJ18" i="1"/>
  <c r="DJ17" i="1"/>
  <c r="DK15" i="1"/>
  <c r="DJ15" i="1" s="1"/>
  <c r="DQ36" i="1" l="1"/>
  <c r="DJ10" i="1"/>
  <c r="DJ9" i="1"/>
  <c r="DJ8" i="1"/>
  <c r="CR42" i="2" l="1"/>
  <c r="DK7" i="3" l="1"/>
  <c r="AQ62" i="7" l="1"/>
  <c r="AQ67" i="7" s="1"/>
  <c r="AQ47" i="7"/>
  <c r="AQ30" i="7" l="1"/>
  <c r="AQ89" i="7" l="1"/>
  <c r="AQ94" i="7"/>
  <c r="AQ74" i="7"/>
  <c r="AQ73" i="7"/>
  <c r="AQ72" i="7"/>
  <c r="AP75" i="7"/>
  <c r="AQ75" i="7" s="1"/>
  <c r="AP62" i="7"/>
  <c r="AP57" i="7"/>
  <c r="AQ52" i="7"/>
  <c r="AP46" i="7"/>
  <c r="AP45" i="7"/>
  <c r="AP44" i="7"/>
  <c r="AP43" i="7"/>
  <c r="AP29" i="7"/>
  <c r="AP28" i="7"/>
  <c r="AP27" i="7"/>
  <c r="AP26" i="7"/>
  <c r="AQ20" i="7"/>
  <c r="DK24" i="1" s="1"/>
  <c r="AP19" i="7"/>
  <c r="AP18" i="7"/>
  <c r="AP17" i="7"/>
  <c r="AP16" i="7"/>
  <c r="AP7" i="7"/>
  <c r="AP8" i="7"/>
  <c r="AP9" i="7"/>
  <c r="AQ10" i="7"/>
  <c r="AP6" i="7"/>
  <c r="DJ18" i="3"/>
  <c r="DJ13" i="3"/>
  <c r="DJ7" i="3"/>
  <c r="CR26" i="2"/>
  <c r="CR32" i="2"/>
  <c r="CR12" i="2"/>
  <c r="CR17" i="2" s="1"/>
  <c r="CR9" i="2"/>
  <c r="DI10" i="3"/>
  <c r="CR19" i="2" l="1"/>
  <c r="AP47" i="7"/>
  <c r="AP52" i="7" s="1"/>
  <c r="AP10" i="7"/>
  <c r="DJ5" i="1" s="1"/>
  <c r="AP76" i="7"/>
  <c r="AQ76" i="7" s="1"/>
  <c r="AP20" i="7"/>
  <c r="AP30" i="7"/>
  <c r="DI46" i="1"/>
  <c r="DI37" i="1"/>
  <c r="CQ32" i="2"/>
  <c r="CQ26" i="2"/>
  <c r="CQ25" i="2"/>
  <c r="CQ12" i="2"/>
  <c r="CQ17" i="2" s="1"/>
  <c r="CQ9" i="2"/>
  <c r="DI19" i="3"/>
  <c r="AO76" i="7"/>
  <c r="AO47" i="7"/>
  <c r="AO52" i="7" s="1"/>
  <c r="AO30" i="7"/>
  <c r="AO38" i="7" s="1"/>
  <c r="AO20" i="7"/>
  <c r="AO10" i="7"/>
  <c r="DI5" i="1" s="1"/>
  <c r="CQ19" i="2" l="1"/>
  <c r="DI30" i="1" s="1"/>
  <c r="DI41" i="1" s="1"/>
  <c r="CQ34" i="2"/>
  <c r="DI6" i="3"/>
  <c r="DI11" i="3" s="1"/>
  <c r="DI36" i="1" s="1"/>
  <c r="DI7" i="1"/>
  <c r="DI11" i="1" s="1"/>
  <c r="DI14" i="1" s="1"/>
  <c r="DI16" i="1" s="1"/>
  <c r="DI19" i="1" s="1"/>
  <c r="DI21" i="1" s="1"/>
  <c r="AP38" i="7"/>
  <c r="DJ7" i="1"/>
  <c r="DI21" i="3" l="1"/>
  <c r="DK45" i="1"/>
  <c r="DK20" i="1"/>
  <c r="DK12" i="1"/>
  <c r="DH46" i="1"/>
  <c r="DH37" i="1"/>
  <c r="CP32" i="2"/>
  <c r="CP26" i="2"/>
  <c r="CP25" i="2"/>
  <c r="CP8" i="2"/>
  <c r="CP9" i="2" s="1"/>
  <c r="CP12" i="2"/>
  <c r="CP17" i="2" s="1"/>
  <c r="DH10" i="3"/>
  <c r="DH19" i="3"/>
  <c r="AN76" i="7"/>
  <c r="AN47" i="7"/>
  <c r="AN52" i="7" s="1"/>
  <c r="AN30" i="7"/>
  <c r="AN38" i="7" s="1"/>
  <c r="AN20" i="7"/>
  <c r="DH24" i="1" s="1"/>
  <c r="AN10" i="7"/>
  <c r="DH5" i="1" s="1"/>
  <c r="CP34" i="2" l="1"/>
  <c r="AQ38" i="7"/>
  <c r="DK6" i="3" s="1"/>
  <c r="DH6" i="3"/>
  <c r="DH11" i="3" s="1"/>
  <c r="DH36" i="1" s="1"/>
  <c r="DH7" i="1"/>
  <c r="DH11" i="1" s="1"/>
  <c r="DH14" i="1" s="1"/>
  <c r="DH16" i="1" s="1"/>
  <c r="DH19" i="1" s="1"/>
  <c r="DH21" i="1" s="1"/>
  <c r="CP19" i="2"/>
  <c r="DH30" i="1" s="1"/>
  <c r="DH41" i="1" s="1"/>
  <c r="DH21" i="3"/>
  <c r="CO47" i="2" l="1"/>
  <c r="CO45" i="2"/>
  <c r="CO44" i="2"/>
  <c r="CP44" i="2" s="1"/>
  <c r="CO32" i="2"/>
  <c r="CO26" i="2"/>
  <c r="CO12" i="2"/>
  <c r="CO8" i="2"/>
  <c r="DG15" i="3"/>
  <c r="DJ15" i="3" s="1"/>
  <c r="DG10" i="3"/>
  <c r="DJ10" i="3" s="1"/>
  <c r="DG6" i="3"/>
  <c r="DJ6" i="3" s="1"/>
  <c r="DJ11" i="3" l="1"/>
  <c r="DJ19" i="3"/>
  <c r="DJ37" i="1"/>
  <c r="CP45" i="2"/>
  <c r="CQ45" i="2" s="1"/>
  <c r="CR45" i="2" s="1"/>
  <c r="AM76" i="7"/>
  <c r="AM67" i="7"/>
  <c r="AP67" i="7" s="1"/>
  <c r="AM47" i="7"/>
  <c r="AM30" i="7"/>
  <c r="AM20" i="7"/>
  <c r="AM10" i="7"/>
  <c r="DG5" i="1" s="1"/>
  <c r="DK5" i="1" s="1"/>
  <c r="DG19" i="3"/>
  <c r="DG11" i="3"/>
  <c r="DG36" i="1" s="1"/>
  <c r="CO25" i="2"/>
  <c r="CO34" i="2" s="1"/>
  <c r="CO17" i="2"/>
  <c r="CO9" i="2"/>
  <c r="DG46" i="1"/>
  <c r="DG37" i="1"/>
  <c r="DG7" i="1"/>
  <c r="DK37" i="1" l="1"/>
  <c r="DJ21" i="3"/>
  <c r="DJ36" i="1"/>
  <c r="DG11" i="1"/>
  <c r="DG14" i="1" s="1"/>
  <c r="DG16" i="1" s="1"/>
  <c r="DG19" i="1" s="1"/>
  <c r="DG21" i="1" s="1"/>
  <c r="DK7" i="1"/>
  <c r="DK11" i="1" s="1"/>
  <c r="DK14" i="1" s="1"/>
  <c r="DK16" i="1" s="1"/>
  <c r="DK19" i="1" s="1"/>
  <c r="DK21" i="1" s="1"/>
  <c r="CO19" i="2"/>
  <c r="DG30" i="1" s="1"/>
  <c r="DG41" i="1" s="1"/>
  <c r="DG24" i="1"/>
  <c r="DJ24" i="1" s="1"/>
  <c r="DG21" i="3"/>
  <c r="DD6" i="3"/>
  <c r="CM44" i="2"/>
  <c r="CM26" i="2"/>
  <c r="CM32" i="2"/>
  <c r="CM12" i="2"/>
  <c r="DD46" i="1"/>
  <c r="DD41" i="1"/>
  <c r="DD7" i="1"/>
  <c r="AK94" i="7" l="1"/>
  <c r="AK89" i="7"/>
  <c r="CL44" i="2" l="1"/>
  <c r="CL12" i="2" l="1"/>
  <c r="DC46" i="1" l="1"/>
  <c r="DC41" i="1"/>
  <c r="AI76" i="7"/>
  <c r="AI30" i="7"/>
  <c r="AI38" i="7" s="1"/>
  <c r="DC7" i="1" s="1"/>
  <c r="CL9" i="2" l="1"/>
  <c r="CK32" i="2" l="1"/>
  <c r="DB46" i="1"/>
  <c r="DB41" i="1"/>
  <c r="CK44" i="2"/>
  <c r="DA7" i="1"/>
  <c r="CK26" i="2"/>
  <c r="CK12" i="2"/>
  <c r="CK17" i="2" s="1"/>
  <c r="CK8" i="2"/>
  <c r="CK9" i="2" s="1"/>
  <c r="DE15" i="3"/>
  <c r="DB10" i="3"/>
  <c r="DB11" i="3" s="1"/>
  <c r="DB36" i="1" s="1"/>
  <c r="AK72" i="7"/>
  <c r="AH62" i="7"/>
  <c r="AH67" i="7" s="1"/>
  <c r="CJ44" i="2"/>
  <c r="DA46" i="1"/>
  <c r="DA41" i="1"/>
  <c r="DC37" i="1"/>
  <c r="DB37" i="1"/>
  <c r="DE20" i="1"/>
  <c r="DE18" i="1"/>
  <c r="DE17" i="1"/>
  <c r="DE15" i="1"/>
  <c r="DE13" i="1"/>
  <c r="DE12" i="1"/>
  <c r="DE10" i="1"/>
  <c r="DE9" i="1"/>
  <c r="DE8" i="1"/>
  <c r="CJ32" i="2"/>
  <c r="CJ26" i="2"/>
  <c r="CJ12" i="2"/>
  <c r="CJ17" i="2" s="1"/>
  <c r="CJ8" i="2"/>
  <c r="CJ9" i="2" s="1"/>
  <c r="CM25" i="2"/>
  <c r="CM34" i="2" s="1"/>
  <c r="CK25" i="2"/>
  <c r="CJ25" i="2"/>
  <c r="CM17" i="2"/>
  <c r="CL17" i="2"/>
  <c r="CM9" i="2"/>
  <c r="DE13" i="3"/>
  <c r="DD19" i="3"/>
  <c r="DB19" i="3"/>
  <c r="DE18" i="3"/>
  <c r="DE17" i="3"/>
  <c r="DE16" i="3"/>
  <c r="DE14" i="3"/>
  <c r="DD11" i="3"/>
  <c r="DC11" i="3"/>
  <c r="DC36" i="1" s="1"/>
  <c r="DE7" i="3"/>
  <c r="DE6" i="3"/>
  <c r="AA91" i="7"/>
  <c r="AG91" i="7"/>
  <c r="AJ76" i="7"/>
  <c r="AK76" i="7" s="1"/>
  <c r="AH76" i="7"/>
  <c r="AG76" i="7"/>
  <c r="AG79" i="7" s="1"/>
  <c r="AK75" i="7"/>
  <c r="AK74" i="7"/>
  <c r="AK73" i="7"/>
  <c r="AG68" i="7"/>
  <c r="AJ67" i="7"/>
  <c r="AG67" i="7"/>
  <c r="AG64" i="7"/>
  <c r="AK62" i="7"/>
  <c r="AG59" i="7"/>
  <c r="AK57" i="7"/>
  <c r="AG54" i="7"/>
  <c r="AK52" i="7"/>
  <c r="AJ47" i="7"/>
  <c r="AI47" i="7"/>
  <c r="AH47" i="7"/>
  <c r="AG47" i="7"/>
  <c r="AG49" i="7" s="1"/>
  <c r="AK46" i="7"/>
  <c r="AK45" i="7"/>
  <c r="AK44" i="7"/>
  <c r="AK43" i="7"/>
  <c r="AJ30" i="7"/>
  <c r="AH30" i="7"/>
  <c r="AH38" i="7" s="1"/>
  <c r="DB7" i="1" s="1"/>
  <c r="AG30" i="7"/>
  <c r="AG33" i="7" s="1"/>
  <c r="AK29" i="7"/>
  <c r="AK28" i="7"/>
  <c r="AK27" i="7"/>
  <c r="AK26" i="7"/>
  <c r="AJ20" i="7"/>
  <c r="DD24" i="1" s="1"/>
  <c r="AI20" i="7"/>
  <c r="DC24" i="1" s="1"/>
  <c r="AH20" i="7"/>
  <c r="DB24" i="1" s="1"/>
  <c r="AG20" i="7"/>
  <c r="AG23" i="7" s="1"/>
  <c r="AK19" i="7"/>
  <c r="AK18" i="7"/>
  <c r="AK17" i="7"/>
  <c r="AK16" i="7"/>
  <c r="AJ10" i="7"/>
  <c r="AI10" i="7"/>
  <c r="AH10" i="7"/>
  <c r="AG10" i="7"/>
  <c r="AG13" i="7" s="1"/>
  <c r="AK9" i="7"/>
  <c r="AK8" i="7"/>
  <c r="AK7" i="7"/>
  <c r="AK6" i="7"/>
  <c r="DA5" i="1" l="1"/>
  <c r="DE10" i="3"/>
  <c r="AH13" i="7"/>
  <c r="DB5" i="1"/>
  <c r="DC5" i="1"/>
  <c r="AI13" i="7"/>
  <c r="DD5" i="1"/>
  <c r="AJ13" i="7"/>
  <c r="DA24" i="1"/>
  <c r="DE11" i="3"/>
  <c r="CK34" i="2"/>
  <c r="DE24" i="1"/>
  <c r="DB11" i="1"/>
  <c r="DB14" i="1" s="1"/>
  <c r="DB16" i="1" s="1"/>
  <c r="DB19" i="1" s="1"/>
  <c r="CK19" i="2"/>
  <c r="DD21" i="3"/>
  <c r="DA37" i="1"/>
  <c r="DE37" i="1" s="1"/>
  <c r="CJ34" i="2"/>
  <c r="CL19" i="2"/>
  <c r="CM19" i="2"/>
  <c r="CJ19" i="2"/>
  <c r="DE19" i="3"/>
  <c r="DA19" i="3"/>
  <c r="DB21" i="3"/>
  <c r="DC19" i="3"/>
  <c r="DC21" i="3" s="1"/>
  <c r="DA11" i="3"/>
  <c r="DA36" i="1" s="1"/>
  <c r="DE36" i="1" s="1"/>
  <c r="AK30" i="7"/>
  <c r="AK67" i="7"/>
  <c r="AG69" i="7"/>
  <c r="AK47" i="7"/>
  <c r="DD11" i="1"/>
  <c r="DD14" i="1" s="1"/>
  <c r="DD16" i="1" s="1"/>
  <c r="DD19" i="1" s="1"/>
  <c r="AK20" i="7"/>
  <c r="AK10" i="7"/>
  <c r="AK13" i="7" s="1"/>
  <c r="DC11" i="1"/>
  <c r="DC14" i="1" s="1"/>
  <c r="DC16" i="1" s="1"/>
  <c r="DC19" i="1" s="1"/>
  <c r="AP31" i="1"/>
  <c r="CX41" i="1"/>
  <c r="CH32" i="2"/>
  <c r="CH26" i="2"/>
  <c r="CH12" i="2"/>
  <c r="DE5" i="1" l="1"/>
  <c r="DD21" i="1"/>
  <c r="CM42" i="2"/>
  <c r="DC21" i="1"/>
  <c r="CL42" i="2"/>
  <c r="DB21" i="1"/>
  <c r="CK42" i="2"/>
  <c r="DE21" i="3"/>
  <c r="DA21" i="3"/>
  <c r="AK38" i="7"/>
  <c r="AG40" i="7"/>
  <c r="AE90" i="7"/>
  <c r="AE89" i="7"/>
  <c r="AE91" i="7" l="1"/>
  <c r="DE7" i="1"/>
  <c r="DE11" i="1" s="1"/>
  <c r="DE14" i="1" s="1"/>
  <c r="DE16" i="1" s="1"/>
  <c r="DE19" i="1" s="1"/>
  <c r="DE21" i="1" s="1"/>
  <c r="DA11" i="1"/>
  <c r="DA14" i="1" s="1"/>
  <c r="DA16" i="1" s="1"/>
  <c r="DA19" i="1" s="1"/>
  <c r="AE78" i="7"/>
  <c r="AE77" i="7"/>
  <c r="AE75" i="7"/>
  <c r="AE74" i="7"/>
  <c r="AE73" i="7"/>
  <c r="AE72" i="7"/>
  <c r="CG32" i="2"/>
  <c r="CG26" i="2"/>
  <c r="CG12" i="2"/>
  <c r="CG8" i="2"/>
  <c r="CW15" i="3"/>
  <c r="CW10" i="3"/>
  <c r="DA21" i="1" l="1"/>
  <c r="CJ42" i="2"/>
  <c r="CF44" i="2"/>
  <c r="CF32" i="2"/>
  <c r="CF26" i="2"/>
  <c r="CF12" i="2"/>
  <c r="CF8" i="2"/>
  <c r="CV10" i="3"/>
  <c r="CU10" i="3" l="1"/>
  <c r="CE44" i="2"/>
  <c r="CE32" i="2"/>
  <c r="CE26" i="2"/>
  <c r="CE12" i="2"/>
  <c r="CE8" i="2"/>
  <c r="AD68" i="7" l="1"/>
  <c r="AC68" i="7"/>
  <c r="AB68" i="7"/>
  <c r="AA68" i="7"/>
  <c r="AD67" i="7"/>
  <c r="AC67" i="7"/>
  <c r="AB67" i="7"/>
  <c r="AA67" i="7"/>
  <c r="AD91" i="7"/>
  <c r="CX32" i="1" s="1"/>
  <c r="AC91" i="7"/>
  <c r="CW32" i="1" s="1"/>
  <c r="AB91" i="7"/>
  <c r="CV32" i="1" s="1"/>
  <c r="AD76" i="7"/>
  <c r="AC76" i="7"/>
  <c r="AC79" i="7" s="1"/>
  <c r="AB76" i="7"/>
  <c r="AD64" i="7"/>
  <c r="AC64" i="7"/>
  <c r="AB64" i="7"/>
  <c r="AD59" i="7"/>
  <c r="AC59" i="7"/>
  <c r="AB59" i="7"/>
  <c r="AD54" i="7"/>
  <c r="AC54" i="7"/>
  <c r="AB54" i="7"/>
  <c r="AD47" i="7"/>
  <c r="AD49" i="7" s="1"/>
  <c r="AC47" i="7"/>
  <c r="AC49" i="7" s="1"/>
  <c r="AB47" i="7"/>
  <c r="AB49" i="7" s="1"/>
  <c r="AD39" i="7"/>
  <c r="AC39" i="7"/>
  <c r="AB39" i="7"/>
  <c r="AD30" i="7"/>
  <c r="AD38" i="7" s="1"/>
  <c r="AC30" i="7"/>
  <c r="AC38" i="7" s="1"/>
  <c r="AB30" i="7"/>
  <c r="AB38" i="7" s="1"/>
  <c r="AD20" i="7"/>
  <c r="AD23" i="7" s="1"/>
  <c r="CX24" i="1" s="1"/>
  <c r="AC20" i="7"/>
  <c r="AC23" i="7" s="1"/>
  <c r="CW24" i="1" s="1"/>
  <c r="AB20" i="7"/>
  <c r="AB23" i="7" s="1"/>
  <c r="CV24" i="1" s="1"/>
  <c r="AD10" i="7"/>
  <c r="AD13" i="7" s="1"/>
  <c r="CX5" i="1" s="1"/>
  <c r="AC10" i="7"/>
  <c r="AC13" i="7" s="1"/>
  <c r="CW5" i="1" s="1"/>
  <c r="AB10" i="7"/>
  <c r="AB13" i="7" s="1"/>
  <c r="CV5" i="1" s="1"/>
  <c r="AA76" i="7"/>
  <c r="AA79" i="7" s="1"/>
  <c r="AA64" i="7"/>
  <c r="AE63" i="7"/>
  <c r="AE62" i="7"/>
  <c r="AA59" i="7"/>
  <c r="AE58" i="7"/>
  <c r="AE57" i="7"/>
  <c r="AA54" i="7"/>
  <c r="AE53" i="7"/>
  <c r="AE52" i="7"/>
  <c r="AE48" i="7"/>
  <c r="AA47" i="7"/>
  <c r="AA49" i="7" s="1"/>
  <c r="AE46" i="7"/>
  <c r="AE45" i="7"/>
  <c r="AE44" i="7"/>
  <c r="AE43" i="7"/>
  <c r="AA39" i="7"/>
  <c r="AE35" i="7"/>
  <c r="AE32" i="7"/>
  <c r="AE31" i="7"/>
  <c r="AA30" i="7"/>
  <c r="AA33" i="7" s="1"/>
  <c r="AE29" i="7"/>
  <c r="AE28" i="7"/>
  <c r="AE27" i="7"/>
  <c r="AE26" i="7"/>
  <c r="AE22" i="7"/>
  <c r="AE21" i="7"/>
  <c r="AA20" i="7"/>
  <c r="AA23" i="7" s="1"/>
  <c r="CU24" i="1" s="1"/>
  <c r="AE19" i="7"/>
  <c r="AE18" i="7"/>
  <c r="AE17" i="7"/>
  <c r="AE16" i="7"/>
  <c r="AE12" i="7"/>
  <c r="AE11" i="7"/>
  <c r="AA10" i="7"/>
  <c r="AA13" i="7" s="1"/>
  <c r="CU5" i="1" s="1"/>
  <c r="AE9" i="7"/>
  <c r="AE8" i="7"/>
  <c r="AE7" i="7"/>
  <c r="AE6" i="7"/>
  <c r="CX19" i="3"/>
  <c r="CW19" i="3"/>
  <c r="CV19" i="3"/>
  <c r="CX11" i="3"/>
  <c r="CX36" i="1" s="1"/>
  <c r="CW11" i="3"/>
  <c r="CV11" i="3"/>
  <c r="CU19" i="3"/>
  <c r="CY18" i="3"/>
  <c r="CY17" i="3"/>
  <c r="CY16" i="3"/>
  <c r="CV37" i="1"/>
  <c r="CY15" i="3"/>
  <c r="CY14" i="3"/>
  <c r="CY13" i="3"/>
  <c r="CU11" i="3"/>
  <c r="CY10" i="3"/>
  <c r="CY7" i="3"/>
  <c r="CY6" i="3"/>
  <c r="CH25" i="2"/>
  <c r="CH34" i="2" s="1"/>
  <c r="CG25" i="2"/>
  <c r="CG34" i="2" s="1"/>
  <c r="CF25" i="2"/>
  <c r="CF34" i="2" s="1"/>
  <c r="CH17" i="2"/>
  <c r="CG17" i="2"/>
  <c r="CF17" i="2"/>
  <c r="CH9" i="2"/>
  <c r="CG9" i="2"/>
  <c r="CF9" i="2"/>
  <c r="CE25" i="2"/>
  <c r="CE34" i="2" s="1"/>
  <c r="CE17" i="2"/>
  <c r="CE9" i="2"/>
  <c r="CX46" i="1"/>
  <c r="CW46" i="1"/>
  <c r="CV46" i="1"/>
  <c r="CU46" i="1"/>
  <c r="CY45" i="1"/>
  <c r="CX37" i="1"/>
  <c r="CW37" i="1"/>
  <c r="CY20" i="1"/>
  <c r="CY18" i="1"/>
  <c r="CY17" i="1"/>
  <c r="CY15" i="1"/>
  <c r="CY13" i="1"/>
  <c r="CY12" i="1"/>
  <c r="CY10" i="1"/>
  <c r="CY9" i="1"/>
  <c r="CY8" i="1"/>
  <c r="CV21" i="3" l="1"/>
  <c r="AD79" i="7"/>
  <c r="AE79" i="7" s="1"/>
  <c r="AE76" i="7"/>
  <c r="AD69" i="7"/>
  <c r="AC33" i="7"/>
  <c r="AB79" i="7"/>
  <c r="CX21" i="3"/>
  <c r="AB40" i="7"/>
  <c r="CV7" i="1" s="1"/>
  <c r="CV11" i="1" s="1"/>
  <c r="CV14" i="1" s="1"/>
  <c r="CV16" i="1" s="1"/>
  <c r="CV19" i="1" s="1"/>
  <c r="CV21" i="1" s="1"/>
  <c r="CF19" i="2"/>
  <c r="AB33" i="7"/>
  <c r="CG19" i="2"/>
  <c r="CV41" i="1" s="1"/>
  <c r="AC40" i="7"/>
  <c r="CW7" i="1" s="1"/>
  <c r="CW11" i="1" s="1"/>
  <c r="CW14" i="1" s="1"/>
  <c r="CW16" i="1" s="1"/>
  <c r="CW19" i="1" s="1"/>
  <c r="CW21" i="1" s="1"/>
  <c r="CG42" i="2" s="1"/>
  <c r="CW21" i="3"/>
  <c r="CH19" i="2"/>
  <c r="CW41" i="1" s="1"/>
  <c r="AD40" i="7"/>
  <c r="CX7" i="1" s="1"/>
  <c r="CX11" i="1" s="1"/>
  <c r="CX14" i="1" s="1"/>
  <c r="CX16" i="1" s="1"/>
  <c r="CX19" i="1" s="1"/>
  <c r="CX21" i="1" s="1"/>
  <c r="AE67" i="7"/>
  <c r="CU21" i="3"/>
  <c r="CE19" i="2"/>
  <c r="AA69" i="7"/>
  <c r="AE68" i="7"/>
  <c r="AC69" i="7"/>
  <c r="AB69" i="7"/>
  <c r="AE20" i="7"/>
  <c r="AE23" i="7" s="1"/>
  <c r="AD33" i="7"/>
  <c r="AE39" i="7"/>
  <c r="CY24" i="1"/>
  <c r="AE64" i="7"/>
  <c r="AE59" i="7"/>
  <c r="AE54" i="7"/>
  <c r="AE47" i="7"/>
  <c r="AE49" i="7" s="1"/>
  <c r="AE30" i="7"/>
  <c r="AE33" i="7" s="1"/>
  <c r="AE10" i="7"/>
  <c r="AE13" i="7" s="1"/>
  <c r="CY5" i="1"/>
  <c r="AA38" i="7"/>
  <c r="CY11" i="3"/>
  <c r="CW36" i="1"/>
  <c r="CY19" i="3"/>
  <c r="CY37" i="1"/>
  <c r="CU41" i="1"/>
  <c r="CR37" i="1"/>
  <c r="CC32" i="2"/>
  <c r="CC26" i="2"/>
  <c r="CC25" i="2"/>
  <c r="CC12" i="2"/>
  <c r="CC17" i="2" s="1"/>
  <c r="CC9" i="2"/>
  <c r="CR19" i="3"/>
  <c r="CR11" i="3"/>
  <c r="CR36" i="1" s="1"/>
  <c r="Y76" i="7"/>
  <c r="Y79" i="7" s="1"/>
  <c r="Y91" i="7"/>
  <c r="X91" i="7"/>
  <c r="X76" i="7"/>
  <c r="X79" i="7" s="1"/>
  <c r="X68" i="7"/>
  <c r="X67" i="7"/>
  <c r="W68" i="7"/>
  <c r="W67" i="7"/>
  <c r="X64" i="7"/>
  <c r="X59" i="7"/>
  <c r="X54" i="7"/>
  <c r="X47" i="7"/>
  <c r="X49" i="7" s="1"/>
  <c r="X40" i="7"/>
  <c r="CR7" i="1" s="1"/>
  <c r="CR11" i="1" s="1"/>
  <c r="CR14" i="1" s="1"/>
  <c r="CR16" i="1" s="1"/>
  <c r="CR19" i="1" s="1"/>
  <c r="CR21" i="1" s="1"/>
  <c r="X30" i="7"/>
  <c r="X33" i="7" s="1"/>
  <c r="X20" i="7"/>
  <c r="X23" i="7" s="1"/>
  <c r="CR24" i="1" s="1"/>
  <c r="Y9" i="7"/>
  <c r="Y8" i="7"/>
  <c r="Y7" i="7"/>
  <c r="Y6" i="7"/>
  <c r="X10" i="7"/>
  <c r="X13" i="7" s="1"/>
  <c r="CR5" i="1" s="1"/>
  <c r="CF42" i="2" l="1"/>
  <c r="W69" i="7"/>
  <c r="CC19" i="2"/>
  <c r="CR30" i="1" s="1"/>
  <c r="CR41" i="1" s="1"/>
  <c r="CC34" i="2"/>
  <c r="AE69" i="7"/>
  <c r="AE38" i="7"/>
  <c r="AE40" i="7" s="1"/>
  <c r="AA40" i="7"/>
  <c r="CU7" i="1" s="1"/>
  <c r="CY21" i="3"/>
  <c r="CV36" i="1"/>
  <c r="CY36" i="1" s="1"/>
  <c r="Y10" i="7"/>
  <c r="CR21" i="3"/>
  <c r="X69" i="7"/>
  <c r="CB32" i="2"/>
  <c r="CB26" i="2"/>
  <c r="CB25" i="2"/>
  <c r="CB12" i="2"/>
  <c r="CB17" i="2" s="1"/>
  <c r="CB8" i="2"/>
  <c r="CB9" i="2" s="1"/>
  <c r="CQ15" i="3"/>
  <c r="CQ37" i="1" s="1"/>
  <c r="CQ10" i="3"/>
  <c r="CQ11" i="3" s="1"/>
  <c r="W91" i="7"/>
  <c r="W64" i="7"/>
  <c r="W59" i="7"/>
  <c r="W76" i="7"/>
  <c r="W79" i="7" s="1"/>
  <c r="W54" i="7"/>
  <c r="W47" i="7"/>
  <c r="W49" i="7" s="1"/>
  <c r="W40" i="7"/>
  <c r="CQ7" i="1" s="1"/>
  <c r="W30" i="7"/>
  <c r="W33" i="7" s="1"/>
  <c r="W20" i="7"/>
  <c r="W23" i="7" s="1"/>
  <c r="CQ24" i="1" s="1"/>
  <c r="W10" i="7"/>
  <c r="W13" i="7" s="1"/>
  <c r="CQ5" i="1" s="1"/>
  <c r="CY7" i="1" l="1"/>
  <c r="CY11" i="1" s="1"/>
  <c r="CY14" i="1" s="1"/>
  <c r="CY16" i="1" s="1"/>
  <c r="CY19" i="1" s="1"/>
  <c r="CY21" i="1" s="1"/>
  <c r="CU11" i="1"/>
  <c r="CU14" i="1" s="1"/>
  <c r="CU16" i="1" s="1"/>
  <c r="CU19" i="1" s="1"/>
  <c r="CE42" i="2" s="1"/>
  <c r="CQ11" i="1"/>
  <c r="CQ14" i="1" s="1"/>
  <c r="CQ16" i="1" s="1"/>
  <c r="CQ19" i="1" s="1"/>
  <c r="CQ21" i="1" s="1"/>
  <c r="CB34" i="2"/>
  <c r="CB19" i="2"/>
  <c r="CQ30" i="1" s="1"/>
  <c r="CQ41" i="1" s="1"/>
  <c r="CQ36" i="1"/>
  <c r="CQ19" i="3"/>
  <c r="CQ21" i="3" s="1"/>
  <c r="CP10" i="3"/>
  <c r="CA32" i="2"/>
  <c r="CA26" i="2"/>
  <c r="CU21" i="1" l="1"/>
  <c r="CA12" i="2"/>
  <c r="CA8" i="2"/>
  <c r="CP15" i="3"/>
  <c r="V68" i="7"/>
  <c r="V67" i="7"/>
  <c r="Y67" i="7" l="1"/>
  <c r="V91" i="7"/>
  <c r="CP32" i="1" s="1"/>
  <c r="V76" i="7"/>
  <c r="V79" i="7" s="1"/>
  <c r="V69" i="7"/>
  <c r="V64" i="7"/>
  <c r="V59" i="7"/>
  <c r="V54" i="7"/>
  <c r="V47" i="7"/>
  <c r="V49" i="7" s="1"/>
  <c r="V39" i="7"/>
  <c r="V30" i="7"/>
  <c r="V38" i="7" s="1"/>
  <c r="V20" i="7"/>
  <c r="V10" i="7"/>
  <c r="V13" i="7" s="1"/>
  <c r="CP5" i="1" s="1"/>
  <c r="CP19" i="3"/>
  <c r="CP11" i="3"/>
  <c r="CP36" i="1" s="1"/>
  <c r="CA25" i="2"/>
  <c r="CA34" i="2" s="1"/>
  <c r="CA17" i="2"/>
  <c r="CA9" i="2"/>
  <c r="CP46" i="1"/>
  <c r="CP37" i="1"/>
  <c r="V40" i="7" l="1"/>
  <c r="CP7" i="1" s="1"/>
  <c r="CP11" i="1" s="1"/>
  <c r="CP14" i="1" s="1"/>
  <c r="CP16" i="1" s="1"/>
  <c r="CP19" i="1" s="1"/>
  <c r="CA42" i="2" s="1"/>
  <c r="CA19" i="2"/>
  <c r="CP30" i="1" s="1"/>
  <c r="CP41" i="1" s="1"/>
  <c r="CP21" i="3"/>
  <c r="V33" i="7"/>
  <c r="V23" i="7"/>
  <c r="CP24" i="1" s="1"/>
  <c r="M48" i="7"/>
  <c r="CP21" i="1" l="1"/>
  <c r="CO46" i="1"/>
  <c r="CO15" i="3" l="1"/>
  <c r="CO10" i="3"/>
  <c r="BZ44" i="2"/>
  <c r="BZ32" i="2"/>
  <c r="BX30" i="2"/>
  <c r="BW30" i="2"/>
  <c r="BV30" i="2"/>
  <c r="BU30" i="2"/>
  <c r="BX28" i="2"/>
  <c r="BW28" i="2"/>
  <c r="BV28" i="2"/>
  <c r="BU28" i="2"/>
  <c r="BZ26" i="2"/>
  <c r="BZ12" i="2"/>
  <c r="BX7" i="2"/>
  <c r="BW7" i="2"/>
  <c r="BV7" i="2"/>
  <c r="BU7" i="2"/>
  <c r="BZ8" i="2"/>
  <c r="CL8" i="1"/>
  <c r="CK8" i="1"/>
  <c r="CJ8" i="1"/>
  <c r="CI8" i="1"/>
  <c r="U39" i="7"/>
  <c r="Y35" i="7"/>
  <c r="S90" i="7" l="1"/>
  <c r="S89" i="7"/>
  <c r="M90" i="7"/>
  <c r="M89" i="7"/>
  <c r="G90" i="7"/>
  <c r="G89" i="7"/>
  <c r="S78" i="7"/>
  <c r="S77" i="7"/>
  <c r="S75" i="7"/>
  <c r="S74" i="7"/>
  <c r="S73" i="7"/>
  <c r="S72" i="7"/>
  <c r="M78" i="7"/>
  <c r="M77" i="7"/>
  <c r="M75" i="7"/>
  <c r="M74" i="7"/>
  <c r="M73" i="7"/>
  <c r="M72" i="7"/>
  <c r="G78" i="7"/>
  <c r="G77" i="7"/>
  <c r="G75" i="7"/>
  <c r="G74" i="7"/>
  <c r="G73" i="7"/>
  <c r="G72" i="7"/>
  <c r="S91" i="7" l="1"/>
  <c r="M91" i="7"/>
  <c r="S38" i="7"/>
  <c r="R40" i="7"/>
  <c r="Q40" i="7"/>
  <c r="P40" i="7"/>
  <c r="O40" i="7"/>
  <c r="L40" i="7"/>
  <c r="K40" i="7"/>
  <c r="J40" i="7"/>
  <c r="I40" i="7"/>
  <c r="F40" i="7"/>
  <c r="E40" i="7"/>
  <c r="D40" i="7"/>
  <c r="C40" i="7"/>
  <c r="R35" i="7"/>
  <c r="L35" i="7"/>
  <c r="G35" i="7"/>
  <c r="U64" i="7" l="1"/>
  <c r="R64" i="7"/>
  <c r="Q64" i="7"/>
  <c r="P64" i="7"/>
  <c r="O64" i="7"/>
  <c r="L64" i="7"/>
  <c r="K64" i="7"/>
  <c r="J64" i="7"/>
  <c r="I64" i="7"/>
  <c r="E64" i="7"/>
  <c r="D64" i="7"/>
  <c r="C64" i="7"/>
  <c r="Y63" i="7"/>
  <c r="S63" i="7"/>
  <c r="M63" i="7"/>
  <c r="Y62" i="7"/>
  <c r="S62" i="7"/>
  <c r="M62" i="7"/>
  <c r="U59" i="7"/>
  <c r="R59" i="7"/>
  <c r="Q59" i="7"/>
  <c r="P59" i="7"/>
  <c r="O59" i="7"/>
  <c r="L59" i="7"/>
  <c r="K59" i="7"/>
  <c r="J59" i="7"/>
  <c r="I59" i="7"/>
  <c r="E59" i="7"/>
  <c r="D59" i="7"/>
  <c r="C59" i="7"/>
  <c r="Y58" i="7"/>
  <c r="S58" i="7"/>
  <c r="M58" i="7"/>
  <c r="Y57" i="7"/>
  <c r="S57" i="7"/>
  <c r="M57" i="7"/>
  <c r="U69" i="7"/>
  <c r="R69" i="7"/>
  <c r="Q69" i="7"/>
  <c r="P69" i="7"/>
  <c r="O69" i="7"/>
  <c r="L69" i="7"/>
  <c r="K69" i="7"/>
  <c r="J69" i="7"/>
  <c r="I69" i="7"/>
  <c r="F69" i="7"/>
  <c r="E69" i="7"/>
  <c r="D69" i="7"/>
  <c r="C69" i="7"/>
  <c r="Y68" i="7"/>
  <c r="S68" i="7"/>
  <c r="M68" i="7"/>
  <c r="G68" i="7"/>
  <c r="S67" i="7"/>
  <c r="M67" i="7"/>
  <c r="G67" i="7"/>
  <c r="U91" i="7"/>
  <c r="CO32" i="1" s="1"/>
  <c r="U76" i="7"/>
  <c r="U79" i="7" s="1"/>
  <c r="U54" i="7"/>
  <c r="Y53" i="7"/>
  <c r="Y52" i="7"/>
  <c r="Y48" i="7"/>
  <c r="U47" i="7"/>
  <c r="U49" i="7" s="1"/>
  <c r="Y46" i="7"/>
  <c r="Y45" i="7"/>
  <c r="Y44" i="7"/>
  <c r="Y43" i="7"/>
  <c r="Y39" i="7"/>
  <c r="Y32" i="7"/>
  <c r="Y31" i="7"/>
  <c r="U30" i="7"/>
  <c r="Y29" i="7"/>
  <c r="Y28" i="7"/>
  <c r="Y27" i="7"/>
  <c r="Y26" i="7"/>
  <c r="Y22" i="7"/>
  <c r="Y21" i="7"/>
  <c r="U20" i="7"/>
  <c r="U23" i="7" s="1"/>
  <c r="CO24" i="1" s="1"/>
  <c r="Y19" i="7"/>
  <c r="Y18" i="7"/>
  <c r="Y17" i="7"/>
  <c r="Y16" i="7"/>
  <c r="Y12" i="7"/>
  <c r="Y11" i="7"/>
  <c r="U10" i="7"/>
  <c r="U13" i="7" s="1"/>
  <c r="CO5" i="1" s="1"/>
  <c r="CS5" i="1" s="1"/>
  <c r="R91" i="7"/>
  <c r="Q91" i="7"/>
  <c r="P91" i="7"/>
  <c r="O91" i="7"/>
  <c r="R76" i="7"/>
  <c r="Q76" i="7"/>
  <c r="Q79" i="7" s="1"/>
  <c r="P76" i="7"/>
  <c r="P79" i="7" s="1"/>
  <c r="O76" i="7"/>
  <c r="O79" i="7" s="1"/>
  <c r="R54" i="7"/>
  <c r="Q54" i="7"/>
  <c r="P54" i="7"/>
  <c r="O54" i="7"/>
  <c r="S53" i="7"/>
  <c r="S52" i="7"/>
  <c r="S48" i="7"/>
  <c r="R47" i="7"/>
  <c r="R49" i="7" s="1"/>
  <c r="Q47" i="7"/>
  <c r="Q49" i="7" s="1"/>
  <c r="P47" i="7"/>
  <c r="P49" i="7" s="1"/>
  <c r="O47" i="7"/>
  <c r="O49" i="7" s="1"/>
  <c r="S46" i="7"/>
  <c r="S45" i="7"/>
  <c r="S44" i="7"/>
  <c r="S43" i="7"/>
  <c r="S39" i="7"/>
  <c r="S40" i="7" s="1"/>
  <c r="S32" i="7"/>
  <c r="S31" i="7"/>
  <c r="R30" i="7"/>
  <c r="R33" i="7" s="1"/>
  <c r="Q30" i="7"/>
  <c r="Q33" i="7" s="1"/>
  <c r="P30" i="7"/>
  <c r="P33" i="7" s="1"/>
  <c r="O30" i="7"/>
  <c r="O33" i="7" s="1"/>
  <c r="S29" i="7"/>
  <c r="S28" i="7"/>
  <c r="S27" i="7"/>
  <c r="S26" i="7"/>
  <c r="S22" i="7"/>
  <c r="S21" i="7"/>
  <c r="R20" i="7"/>
  <c r="R23" i="7" s="1"/>
  <c r="Q20" i="7"/>
  <c r="Q23" i="7" s="1"/>
  <c r="P20" i="7"/>
  <c r="P23" i="7" s="1"/>
  <c r="O20" i="7"/>
  <c r="O23" i="7" s="1"/>
  <c r="S19" i="7"/>
  <c r="S18" i="7"/>
  <c r="S17" i="7"/>
  <c r="S16" i="7"/>
  <c r="S12" i="7"/>
  <c r="S11" i="7"/>
  <c r="R10" i="7"/>
  <c r="R13" i="7" s="1"/>
  <c r="Q10" i="7"/>
  <c r="Q13" i="7" s="1"/>
  <c r="P10" i="7"/>
  <c r="P13" i="7" s="1"/>
  <c r="O10" i="7"/>
  <c r="O13" i="7" s="1"/>
  <c r="S9" i="7"/>
  <c r="S8" i="7"/>
  <c r="S7" i="7"/>
  <c r="S6" i="7"/>
  <c r="L91" i="7"/>
  <c r="K91" i="7"/>
  <c r="J91" i="7"/>
  <c r="I91" i="7"/>
  <c r="L76" i="7"/>
  <c r="K76" i="7"/>
  <c r="K79" i="7" s="1"/>
  <c r="J76" i="7"/>
  <c r="J79" i="7" s="1"/>
  <c r="I76" i="7"/>
  <c r="I79" i="7" s="1"/>
  <c r="L54" i="7"/>
  <c r="K54" i="7"/>
  <c r="J54" i="7"/>
  <c r="I54" i="7"/>
  <c r="M53" i="7"/>
  <c r="M52" i="7"/>
  <c r="L47" i="7"/>
  <c r="L49" i="7" s="1"/>
  <c r="K47" i="7"/>
  <c r="K49" i="7" s="1"/>
  <c r="J47" i="7"/>
  <c r="J49" i="7" s="1"/>
  <c r="I47" i="7"/>
  <c r="I49" i="7" s="1"/>
  <c r="M46" i="7"/>
  <c r="M45" i="7"/>
  <c r="M44" i="7"/>
  <c r="M43" i="7"/>
  <c r="M39" i="7"/>
  <c r="M38" i="7"/>
  <c r="M32" i="7"/>
  <c r="M31" i="7"/>
  <c r="L30" i="7"/>
  <c r="L33" i="7" s="1"/>
  <c r="K30" i="7"/>
  <c r="K33" i="7" s="1"/>
  <c r="J30" i="7"/>
  <c r="J33" i="7" s="1"/>
  <c r="I30" i="7"/>
  <c r="I33" i="7" s="1"/>
  <c r="M29" i="7"/>
  <c r="M28" i="7"/>
  <c r="M27" i="7"/>
  <c r="M26" i="7"/>
  <c r="M22" i="7"/>
  <c r="M21" i="7"/>
  <c r="L20" i="7"/>
  <c r="L23" i="7" s="1"/>
  <c r="K20" i="7"/>
  <c r="K23" i="7" s="1"/>
  <c r="J20" i="7"/>
  <c r="J23" i="7" s="1"/>
  <c r="I20" i="7"/>
  <c r="I23" i="7" s="1"/>
  <c r="M19" i="7"/>
  <c r="M18" i="7"/>
  <c r="M17" i="7"/>
  <c r="M16" i="7"/>
  <c r="M12" i="7"/>
  <c r="M11" i="7"/>
  <c r="K10" i="7"/>
  <c r="K13" i="7" s="1"/>
  <c r="J10" i="7"/>
  <c r="J13" i="7" s="1"/>
  <c r="I10" i="7"/>
  <c r="I13" i="7" s="1"/>
  <c r="F91" i="7"/>
  <c r="E91" i="7"/>
  <c r="D91" i="7"/>
  <c r="C91" i="7"/>
  <c r="F76" i="7"/>
  <c r="E76" i="7"/>
  <c r="E79" i="7" s="1"/>
  <c r="D76" i="7"/>
  <c r="D79" i="7" s="1"/>
  <c r="C76" i="7"/>
  <c r="C79" i="7" s="1"/>
  <c r="F54" i="7"/>
  <c r="E54" i="7"/>
  <c r="D54" i="7"/>
  <c r="C54" i="7"/>
  <c r="G53" i="7"/>
  <c r="G52" i="7"/>
  <c r="G39" i="7"/>
  <c r="G38" i="7"/>
  <c r="G48" i="7"/>
  <c r="F47" i="7"/>
  <c r="F49" i="7" s="1"/>
  <c r="E47" i="7"/>
  <c r="E49" i="7" s="1"/>
  <c r="D47" i="7"/>
  <c r="D49" i="7" s="1"/>
  <c r="C47" i="7"/>
  <c r="C49" i="7" s="1"/>
  <c r="G46" i="7"/>
  <c r="G45" i="7"/>
  <c r="G44" i="7"/>
  <c r="G43" i="7"/>
  <c r="G32" i="7"/>
  <c r="G31" i="7"/>
  <c r="F30" i="7"/>
  <c r="F33" i="7" s="1"/>
  <c r="E30" i="7"/>
  <c r="E33" i="7" s="1"/>
  <c r="D30" i="7"/>
  <c r="D33" i="7" s="1"/>
  <c r="C30" i="7"/>
  <c r="C33" i="7" s="1"/>
  <c r="G29" i="7"/>
  <c r="G28" i="7"/>
  <c r="G27" i="7"/>
  <c r="G26" i="7"/>
  <c r="G22" i="7"/>
  <c r="G21" i="7"/>
  <c r="F20" i="7"/>
  <c r="F23" i="7" s="1"/>
  <c r="E20" i="7"/>
  <c r="E23" i="7" s="1"/>
  <c r="D20" i="7"/>
  <c r="D23" i="7" s="1"/>
  <c r="C20" i="7"/>
  <c r="C23" i="7" s="1"/>
  <c r="G19" i="7"/>
  <c r="G18" i="7"/>
  <c r="G17" i="7"/>
  <c r="G16" i="7"/>
  <c r="C10" i="7"/>
  <c r="C13" i="7" s="1"/>
  <c r="F10" i="7"/>
  <c r="F13" i="7" s="1"/>
  <c r="E10" i="7"/>
  <c r="E13" i="7" s="1"/>
  <c r="D10" i="7"/>
  <c r="D13" i="7" s="1"/>
  <c r="G12" i="7"/>
  <c r="G11" i="7"/>
  <c r="G9" i="7"/>
  <c r="G8" i="7"/>
  <c r="G7" i="7"/>
  <c r="G6" i="7"/>
  <c r="CO19" i="3"/>
  <c r="CO11" i="3"/>
  <c r="CS18" i="3"/>
  <c r="CS17" i="3"/>
  <c r="CS16" i="3"/>
  <c r="CS15" i="3"/>
  <c r="CS14" i="3"/>
  <c r="CS13" i="3"/>
  <c r="CS10" i="3"/>
  <c r="CS7" i="3"/>
  <c r="CS6" i="3"/>
  <c r="BZ25" i="2"/>
  <c r="BZ34" i="2" s="1"/>
  <c r="BZ17" i="2"/>
  <c r="BZ9" i="2"/>
  <c r="CS20" i="1"/>
  <c r="CS18" i="1"/>
  <c r="CS17" i="1"/>
  <c r="CS15" i="1"/>
  <c r="CS13" i="1"/>
  <c r="CS10" i="1"/>
  <c r="CS9" i="1"/>
  <c r="CS8" i="1"/>
  <c r="M40" i="7" l="1"/>
  <c r="U33" i="7"/>
  <c r="U38" i="7"/>
  <c r="CO21" i="3"/>
  <c r="G40" i="7"/>
  <c r="BZ19" i="2"/>
  <c r="CO30" i="1" s="1"/>
  <c r="CO41" i="1" s="1"/>
  <c r="F79" i="7"/>
  <c r="G76" i="7"/>
  <c r="G79" i="7" s="1"/>
  <c r="R79" i="7"/>
  <c r="S76" i="7"/>
  <c r="S79" i="7" s="1"/>
  <c r="L79" i="7"/>
  <c r="M76" i="7"/>
  <c r="M79" i="7" s="1"/>
  <c r="M59" i="7"/>
  <c r="M64" i="7"/>
  <c r="S64" i="7"/>
  <c r="Y59" i="7"/>
  <c r="Y64" i="7"/>
  <c r="CS19" i="3"/>
  <c r="S59" i="7"/>
  <c r="G91" i="7"/>
  <c r="Y69" i="7"/>
  <c r="M30" i="7"/>
  <c r="M33" i="7" s="1"/>
  <c r="S54" i="7"/>
  <c r="Y54" i="7"/>
  <c r="G54" i="7"/>
  <c r="S69" i="7"/>
  <c r="S30" i="7"/>
  <c r="S33" i="7" s="1"/>
  <c r="M54" i="7"/>
  <c r="S20" i="7"/>
  <c r="S23" i="7" s="1"/>
  <c r="M47" i="7"/>
  <c r="M49" i="7" s="1"/>
  <c r="Y47" i="7"/>
  <c r="Y49" i="7" s="1"/>
  <c r="S10" i="7"/>
  <c r="S13" i="7" s="1"/>
  <c r="S47" i="7"/>
  <c r="S49" i="7" s="1"/>
  <c r="Y30" i="7"/>
  <c r="Y33" i="7" s="1"/>
  <c r="G69" i="7"/>
  <c r="M20" i="7"/>
  <c r="M23" i="7" s="1"/>
  <c r="Y20" i="7"/>
  <c r="Y23" i="7" s="1"/>
  <c r="M69" i="7"/>
  <c r="Y13" i="7"/>
  <c r="G10" i="7"/>
  <c r="G13" i="7" s="1"/>
  <c r="G47" i="7"/>
  <c r="G49" i="7" s="1"/>
  <c r="G30" i="7"/>
  <c r="G33" i="7" s="1"/>
  <c r="G20" i="7"/>
  <c r="G23" i="7" s="1"/>
  <c r="CS11" i="3"/>
  <c r="CS45" i="1"/>
  <c r="CO37" i="1"/>
  <c r="CS37" i="1" s="1"/>
  <c r="CO36" i="1"/>
  <c r="CS36" i="1" s="1"/>
  <c r="CS24" i="1"/>
  <c r="CS12" i="1"/>
  <c r="U40" i="7" l="1"/>
  <c r="CO7" i="1" s="1"/>
  <c r="CS7" i="1" s="1"/>
  <c r="CS11" i="1" s="1"/>
  <c r="CS14" i="1" s="1"/>
  <c r="CS16" i="1" s="1"/>
  <c r="CS19" i="1" s="1"/>
  <c r="CS21" i="1" s="1"/>
  <c r="Y38" i="7"/>
  <c r="Y40" i="7" s="1"/>
  <c r="CS21" i="3"/>
  <c r="CO11" i="1" l="1"/>
  <c r="CO14" i="1" s="1"/>
  <c r="CO16" i="1" s="1"/>
  <c r="CO19" i="1" s="1"/>
  <c r="BU27" i="6"/>
  <c r="BW27" i="6"/>
  <c r="BX7" i="6"/>
  <c r="BX11" i="6" s="1"/>
  <c r="BX15" i="6" s="1"/>
  <c r="BV7" i="6"/>
  <c r="CL19" i="3"/>
  <c r="CL11" i="3"/>
  <c r="BX43" i="2"/>
  <c r="BX32" i="2"/>
  <c r="BX26" i="2"/>
  <c r="BX25" i="2"/>
  <c r="BX12" i="2"/>
  <c r="BX17" i="2" s="1"/>
  <c r="BX9" i="2"/>
  <c r="CL46" i="1"/>
  <c r="CK46" i="1"/>
  <c r="CL41" i="1"/>
  <c r="CK41" i="1"/>
  <c r="CO21" i="1" l="1"/>
  <c r="BZ42" i="2"/>
  <c r="BX19" i="2"/>
  <c r="CL21" i="3"/>
  <c r="BX34" i="2"/>
  <c r="CL78" i="4" l="1"/>
  <c r="CL32" i="1" s="1"/>
  <c r="CL68" i="4"/>
  <c r="CL41" i="4"/>
  <c r="CL40" i="4"/>
  <c r="CL38" i="4"/>
  <c r="CL7" i="1" s="1"/>
  <c r="CL11" i="1" s="1"/>
  <c r="CL14" i="1" s="1"/>
  <c r="CL16" i="1" s="1"/>
  <c r="CL19" i="1" s="1"/>
  <c r="CL28" i="4"/>
  <c r="CL26" i="4"/>
  <c r="CL24" i="4"/>
  <c r="CL13" i="4"/>
  <c r="CK13" i="4"/>
  <c r="CK16" i="4" s="1"/>
  <c r="CM6" i="4"/>
  <c r="CL21" i="1" l="1"/>
  <c r="BX42" i="2"/>
  <c r="CL5" i="1"/>
  <c r="CL16" i="4"/>
  <c r="CL24" i="1" s="1"/>
  <c r="CL39" i="4"/>
  <c r="CL25" i="4" l="1"/>
  <c r="BW7" i="6"/>
  <c r="BW11" i="6" s="1"/>
  <c r="BW15" i="6" s="1"/>
  <c r="BU7" i="6"/>
  <c r="CK15" i="3"/>
  <c r="CK19" i="3" s="1"/>
  <c r="CK10" i="3"/>
  <c r="CK11" i="3" s="1"/>
  <c r="BW32" i="2"/>
  <c r="BW26" i="2"/>
  <c r="BW25" i="2"/>
  <c r="BW12" i="2"/>
  <c r="BW17" i="2" s="1"/>
  <c r="BW9" i="2"/>
  <c r="CK37" i="1"/>
  <c r="CK5" i="1"/>
  <c r="CK78" i="4"/>
  <c r="CK32" i="1" s="1"/>
  <c r="CK68" i="4"/>
  <c r="CJ40" i="4"/>
  <c r="CJ41" i="4"/>
  <c r="CK41" i="4"/>
  <c r="CK40" i="4"/>
  <c r="CK38" i="4"/>
  <c r="CK7" i="1" s="1"/>
  <c r="CK28" i="4"/>
  <c r="CK26" i="4"/>
  <c r="CK24" i="4"/>
  <c r="CK24" i="1"/>
  <c r="BW19" i="2" l="1"/>
  <c r="CK21" i="3"/>
  <c r="BW34" i="2"/>
  <c r="CK25" i="4"/>
  <c r="CK39" i="4"/>
  <c r="CK11" i="1"/>
  <c r="CK14" i="1" s="1"/>
  <c r="CK16" i="1" s="1"/>
  <c r="CK19" i="1" s="1"/>
  <c r="BV27" i="6"/>
  <c r="BV11" i="6"/>
  <c r="BV15" i="6" s="1"/>
  <c r="BW42" i="2" l="1"/>
  <c r="CK21" i="1"/>
  <c r="CJ46" i="1"/>
  <c r="BV32" i="2"/>
  <c r="BV26" i="2"/>
  <c r="BV25" i="2"/>
  <c r="BV12" i="2"/>
  <c r="BV17" i="2" s="1"/>
  <c r="BV9" i="2"/>
  <c r="CJ15" i="3"/>
  <c r="CJ37" i="1" s="1"/>
  <c r="CJ10" i="3"/>
  <c r="CJ11" i="3" s="1"/>
  <c r="CJ78" i="4"/>
  <c r="CJ68" i="4"/>
  <c r="CJ38" i="4"/>
  <c r="CJ28" i="4"/>
  <c r="CJ24" i="4"/>
  <c r="CJ26" i="4"/>
  <c r="CJ13" i="4"/>
  <c r="CJ7" i="1" l="1"/>
  <c r="CJ11" i="1" s="1"/>
  <c r="CJ14" i="1" s="1"/>
  <c r="CJ16" i="1" s="1"/>
  <c r="CJ19" i="1" s="1"/>
  <c r="CJ21" i="1" s="1"/>
  <c r="CJ16" i="4"/>
  <c r="CJ25" i="4" s="1"/>
  <c r="CJ39" i="4"/>
  <c r="BV19" i="2"/>
  <c r="CJ30" i="1" s="1"/>
  <c r="CJ41" i="1" s="1"/>
  <c r="BV34" i="2"/>
  <c r="CJ36" i="1"/>
  <c r="CJ19" i="3"/>
  <c r="CJ21" i="3" s="1"/>
  <c r="BV42" i="2" l="1"/>
  <c r="CJ24" i="1"/>
  <c r="CI46" i="1"/>
  <c r="CM45" i="1"/>
  <c r="CM44" i="1"/>
  <c r="CM20" i="1"/>
  <c r="CM18" i="1"/>
  <c r="CM17" i="1"/>
  <c r="CM15" i="1"/>
  <c r="CM13" i="1"/>
  <c r="CM12" i="1"/>
  <c r="CM10" i="1"/>
  <c r="CM9" i="1"/>
  <c r="CM8" i="1"/>
  <c r="BU32" i="2"/>
  <c r="BU26" i="2"/>
  <c r="BU25" i="2"/>
  <c r="BU17" i="2"/>
  <c r="BU9" i="2"/>
  <c r="CI15" i="3"/>
  <c r="CM15" i="3" s="1"/>
  <c r="CI10" i="3"/>
  <c r="CI11" i="3" s="1"/>
  <c r="CI36" i="1" s="1"/>
  <c r="CM36" i="1" s="1"/>
  <c r="CM18" i="3"/>
  <c r="CM17" i="3"/>
  <c r="CM16" i="3"/>
  <c r="CM14" i="3"/>
  <c r="CM13" i="3"/>
  <c r="CM7" i="3"/>
  <c r="CM6" i="3"/>
  <c r="CC28" i="4"/>
  <c r="CI28" i="4"/>
  <c r="CI78" i="4"/>
  <c r="CI32" i="1" s="1"/>
  <c r="CI68" i="4"/>
  <c r="CM67" i="4"/>
  <c r="CM66" i="4"/>
  <c r="CM65" i="4"/>
  <c r="CM64" i="4"/>
  <c r="CM63" i="4"/>
  <c r="CM61" i="4"/>
  <c r="CI41" i="4"/>
  <c r="CI40" i="4"/>
  <c r="CI38" i="4"/>
  <c r="CM37" i="4"/>
  <c r="CM36" i="4"/>
  <c r="CM35" i="4"/>
  <c r="CM34" i="4"/>
  <c r="CM33" i="4"/>
  <c r="CM31" i="4"/>
  <c r="CI26" i="4"/>
  <c r="CI24" i="4"/>
  <c r="CM23" i="4"/>
  <c r="CM22" i="4"/>
  <c r="BX27" i="6" s="1"/>
  <c r="CM21" i="4"/>
  <c r="CM15" i="4"/>
  <c r="CI13" i="4"/>
  <c r="CM12" i="4"/>
  <c r="CM11" i="4"/>
  <c r="CM9" i="4"/>
  <c r="CM8" i="4"/>
  <c r="BU11" i="6"/>
  <c r="BU15" i="6" s="1"/>
  <c r="CI39" i="4" l="1"/>
  <c r="CI7" i="1"/>
  <c r="CM7" i="1" s="1"/>
  <c r="CM11" i="1" s="1"/>
  <c r="CM14" i="1" s="1"/>
  <c r="CM16" i="1" s="1"/>
  <c r="CM19" i="1" s="1"/>
  <c r="CM21" i="1" s="1"/>
  <c r="CI37" i="1"/>
  <c r="CM37" i="1" s="1"/>
  <c r="CI5" i="1"/>
  <c r="CM5" i="1" s="1"/>
  <c r="BU34" i="2"/>
  <c r="BU19" i="2"/>
  <c r="CI30" i="1" s="1"/>
  <c r="CI41" i="1" s="1"/>
  <c r="CI19" i="3"/>
  <c r="CI21" i="3" s="1"/>
  <c r="CM19" i="3"/>
  <c r="CM10" i="3"/>
  <c r="CI16" i="4"/>
  <c r="CM40" i="4"/>
  <c r="CM68" i="4"/>
  <c r="CM10" i="4"/>
  <c r="CM28" i="4" s="1"/>
  <c r="CM19" i="4"/>
  <c r="CM41" i="4"/>
  <c r="CM38" i="4"/>
  <c r="BX17" i="6" s="1"/>
  <c r="CF29" i="1"/>
  <c r="CF28" i="1"/>
  <c r="BS22" i="2"/>
  <c r="BS7" i="6"/>
  <c r="BS11" i="6" s="1"/>
  <c r="CM11" i="3" l="1"/>
  <c r="CM21" i="3" s="1"/>
  <c r="CI11" i="1"/>
  <c r="CI14" i="1" s="1"/>
  <c r="CI16" i="1" s="1"/>
  <c r="CI19" i="1" s="1"/>
  <c r="CI21" i="1" s="1"/>
  <c r="CI25" i="4"/>
  <c r="CI24" i="1"/>
  <c r="CM24" i="1" s="1"/>
  <c r="CM13" i="4"/>
  <c r="CM39" i="4" s="1"/>
  <c r="CM16" i="4"/>
  <c r="CM26" i="4"/>
  <c r="CM24" i="4"/>
  <c r="BX24" i="6" s="1"/>
  <c r="CF46" i="1"/>
  <c r="CF37" i="1"/>
  <c r="CF36" i="1"/>
  <c r="CF18" i="1"/>
  <c r="CF15" i="1"/>
  <c r="CF9" i="1"/>
  <c r="CF8" i="1"/>
  <c r="CF7" i="1"/>
  <c r="CF5" i="1"/>
  <c r="BX21" i="6" l="1"/>
  <c r="BX36" i="6"/>
  <c r="BX26" i="6"/>
  <c r="BU42" i="2"/>
  <c r="CF11" i="1"/>
  <c r="CF14" i="1" s="1"/>
  <c r="CF16" i="1" s="1"/>
  <c r="CF19" i="1" s="1"/>
  <c r="CF21" i="1" s="1"/>
  <c r="CM25" i="4"/>
  <c r="BS32" i="2"/>
  <c r="BS26" i="2"/>
  <c r="BS12" i="2"/>
  <c r="CF15" i="3"/>
  <c r="CF10" i="3"/>
  <c r="BX28" i="6" l="1"/>
  <c r="BX32" i="6" s="1"/>
  <c r="BX33" i="6"/>
  <c r="CF19" i="4"/>
  <c r="CF15" i="4"/>
  <c r="CF41" i="4" s="1"/>
  <c r="CF10" i="4"/>
  <c r="CF28" i="4" s="1"/>
  <c r="CF6" i="4"/>
  <c r="CF40" i="4" s="1"/>
  <c r="CF26" i="4" l="1"/>
  <c r="CE46" i="1"/>
  <c r="CE11" i="1"/>
  <c r="CE14" i="1" s="1"/>
  <c r="CE16" i="1" s="1"/>
  <c r="CE19" i="1" s="1"/>
  <c r="CE21" i="1" s="1"/>
  <c r="BR48" i="2"/>
  <c r="BR32" i="2"/>
  <c r="BR26" i="2"/>
  <c r="BR12" i="2"/>
  <c r="CE15" i="3"/>
  <c r="CE37" i="1" s="1"/>
  <c r="CE10" i="3"/>
  <c r="CE41" i="4"/>
  <c r="CE40" i="4"/>
  <c r="CE28" i="4"/>
  <c r="CE26" i="4"/>
  <c r="CG15" i="4" l="1"/>
  <c r="CG12" i="4"/>
  <c r="CG10" i="4"/>
  <c r="CD16" i="4"/>
  <c r="CA37" i="4"/>
  <c r="CA34" i="4"/>
  <c r="BX38" i="4"/>
  <c r="BW38" i="4"/>
  <c r="CD41" i="4"/>
  <c r="CD40" i="4"/>
  <c r="CD28" i="4"/>
  <c r="CD26" i="4"/>
  <c r="CD15" i="3"/>
  <c r="CD10" i="3"/>
  <c r="BQ32" i="2"/>
  <c r="BQ26" i="2"/>
  <c r="BQ12" i="2"/>
  <c r="CD41" i="1"/>
  <c r="CD11" i="1"/>
  <c r="CD14" i="1" s="1"/>
  <c r="CD16" i="1" s="1"/>
  <c r="CD19" i="1" s="1"/>
  <c r="CD21" i="1" s="1"/>
  <c r="CC46" i="1" l="1"/>
  <c r="CG45" i="1"/>
  <c r="CG44" i="1"/>
  <c r="CC37" i="1"/>
  <c r="CG37" i="1" s="1"/>
  <c r="CG20" i="1"/>
  <c r="CG18" i="1"/>
  <c r="CG17" i="1"/>
  <c r="CG15" i="1"/>
  <c r="CG13" i="1"/>
  <c r="CG12" i="1"/>
  <c r="CG10" i="1"/>
  <c r="CG9" i="1"/>
  <c r="CG8" i="1"/>
  <c r="BP32" i="2"/>
  <c r="BP26" i="2"/>
  <c r="BP12" i="2"/>
  <c r="BP17" i="2" s="1"/>
  <c r="BS25" i="2"/>
  <c r="BS34" i="2" s="1"/>
  <c r="BR25" i="2"/>
  <c r="BR34" i="2" s="1"/>
  <c r="BQ25" i="2"/>
  <c r="BQ34" i="2" s="1"/>
  <c r="BP25" i="2"/>
  <c r="BR17" i="2"/>
  <c r="BQ17" i="2"/>
  <c r="BS17" i="2"/>
  <c r="BS9" i="2"/>
  <c r="BR9" i="2"/>
  <c r="BQ9" i="2"/>
  <c r="BP9" i="2"/>
  <c r="CC10" i="3"/>
  <c r="CG10" i="3" s="1"/>
  <c r="CG18" i="3"/>
  <c r="CG17" i="3"/>
  <c r="CG16" i="3"/>
  <c r="CG15" i="3"/>
  <c r="CG14" i="3"/>
  <c r="CG13" i="3"/>
  <c r="CF19" i="3"/>
  <c r="CE19" i="3"/>
  <c r="CF11" i="3"/>
  <c r="CG7" i="3"/>
  <c r="CE11" i="3"/>
  <c r="CE36" i="1" s="1"/>
  <c r="CD11" i="3"/>
  <c r="CE21" i="3" l="1"/>
  <c r="BR19" i="2"/>
  <c r="CE30" i="1" s="1"/>
  <c r="CE41" i="1" s="1"/>
  <c r="BS19" i="2"/>
  <c r="CF30" i="1" s="1"/>
  <c r="CF41" i="1" s="1"/>
  <c r="CC11" i="3"/>
  <c r="CC36" i="1" s="1"/>
  <c r="CG36" i="1" s="1"/>
  <c r="BP34" i="2"/>
  <c r="BP19" i="2"/>
  <c r="CC30" i="1" s="1"/>
  <c r="CC41" i="1" s="1"/>
  <c r="BQ19" i="2"/>
  <c r="CG19" i="3"/>
  <c r="CF21" i="3"/>
  <c r="CG6" i="3"/>
  <c r="CG11" i="3" s="1"/>
  <c r="CC19" i="3"/>
  <c r="CD19" i="3"/>
  <c r="CD21" i="3" s="1"/>
  <c r="CC21" i="3" l="1"/>
  <c r="CG21" i="3"/>
  <c r="BS15" i="6" l="1"/>
  <c r="BR7" i="6"/>
  <c r="BQ7" i="6"/>
  <c r="BP7" i="6"/>
  <c r="CE78" i="4"/>
  <c r="CE32" i="1" s="1"/>
  <c r="CD78" i="4"/>
  <c r="CD32" i="1" s="1"/>
  <c r="CC78" i="4"/>
  <c r="CC32" i="1" s="1"/>
  <c r="CF78" i="4"/>
  <c r="CF32" i="1" s="1"/>
  <c r="CE68" i="4"/>
  <c r="CD68" i="4"/>
  <c r="CC68" i="4"/>
  <c r="CG67" i="4"/>
  <c r="CG66" i="4"/>
  <c r="CG65" i="4"/>
  <c r="CG64" i="4"/>
  <c r="CG63" i="4"/>
  <c r="CG61" i="4"/>
  <c r="CC41" i="4"/>
  <c r="CC40" i="4"/>
  <c r="CE38" i="4"/>
  <c r="CD38" i="4"/>
  <c r="CC38" i="4"/>
  <c r="CC7" i="1" s="1"/>
  <c r="CC11" i="1" s="1"/>
  <c r="CG37" i="4"/>
  <c r="CG36" i="4"/>
  <c r="CG35" i="4"/>
  <c r="CG34" i="4"/>
  <c r="CG33" i="4"/>
  <c r="CG31" i="4"/>
  <c r="CC26" i="4"/>
  <c r="CE24" i="4"/>
  <c r="CD24" i="4"/>
  <c r="CD25" i="4" s="1"/>
  <c r="CC24" i="4"/>
  <c r="CG23" i="4"/>
  <c r="CG22" i="4"/>
  <c r="CG21" i="4"/>
  <c r="CG19" i="4"/>
  <c r="CF13" i="4"/>
  <c r="CF16" i="4" s="1"/>
  <c r="CF24" i="1" s="1"/>
  <c r="CE13" i="4"/>
  <c r="CE16" i="4" s="1"/>
  <c r="CE24" i="1" s="1"/>
  <c r="CD13" i="4"/>
  <c r="CC13" i="4"/>
  <c r="CC16" i="4" s="1"/>
  <c r="CG11" i="4"/>
  <c r="CG9" i="4"/>
  <c r="CG8" i="4"/>
  <c r="CG6" i="4"/>
  <c r="BZ18" i="3"/>
  <c r="BZ10" i="3"/>
  <c r="BR11" i="6" l="1"/>
  <c r="BR15" i="6" s="1"/>
  <c r="CE25" i="4"/>
  <c r="CD39" i="4"/>
  <c r="CG13" i="4"/>
  <c r="CE39" i="4"/>
  <c r="CG28" i="4"/>
  <c r="BS27" i="6"/>
  <c r="BQ11" i="6"/>
  <c r="BQ15" i="6" s="1"/>
  <c r="BP11" i="6"/>
  <c r="BP15" i="6" s="1"/>
  <c r="CG16" i="4"/>
  <c r="CG26" i="4"/>
  <c r="CG7" i="1"/>
  <c r="CG11" i="1" s="1"/>
  <c r="CG14" i="1" s="1"/>
  <c r="CG16" i="1" s="1"/>
  <c r="CG19" i="1" s="1"/>
  <c r="CG21" i="1" s="1"/>
  <c r="CC14" i="1"/>
  <c r="CC16" i="1" s="1"/>
  <c r="CC19" i="1" s="1"/>
  <c r="CC21" i="1" s="1"/>
  <c r="CC24" i="1"/>
  <c r="CG24" i="1" s="1"/>
  <c r="CC5" i="1"/>
  <c r="CG5" i="1" s="1"/>
  <c r="CG68" i="4"/>
  <c r="CC25" i="4"/>
  <c r="CC39" i="4"/>
  <c r="CG41" i="4"/>
  <c r="CG40" i="4"/>
  <c r="CG38" i="4"/>
  <c r="BS17" i="6" s="1"/>
  <c r="CG24" i="4"/>
  <c r="CF38" i="4"/>
  <c r="BW17" i="6" s="1"/>
  <c r="CF68" i="4"/>
  <c r="CF24" i="4"/>
  <c r="BW24" i="6" s="1"/>
  <c r="BN44" i="2"/>
  <c r="BZ28" i="1"/>
  <c r="BZ46" i="1" s="1"/>
  <c r="BZ18" i="1"/>
  <c r="BZ15" i="1"/>
  <c r="BZ8" i="1"/>
  <c r="BZ9" i="1"/>
  <c r="BN32" i="2"/>
  <c r="BN26" i="2"/>
  <c r="BN25" i="2"/>
  <c r="BN12" i="2"/>
  <c r="BN17" i="2" s="1"/>
  <c r="BN9" i="2"/>
  <c r="BZ13" i="3"/>
  <c r="CA14" i="3"/>
  <c r="BW21" i="6" l="1"/>
  <c r="BW26" i="6"/>
  <c r="BW36" i="6"/>
  <c r="BN34" i="2"/>
  <c r="CF39" i="4"/>
  <c r="BU17" i="6"/>
  <c r="BV17" i="6"/>
  <c r="CF25" i="4"/>
  <c r="BU24" i="6"/>
  <c r="BV24" i="6"/>
  <c r="BS24" i="6"/>
  <c r="BS26" i="6" s="1"/>
  <c r="CG25" i="4"/>
  <c r="BN19" i="2"/>
  <c r="BZ30" i="1" s="1"/>
  <c r="BZ41" i="1" s="1"/>
  <c r="BP42" i="2"/>
  <c r="CG39" i="4"/>
  <c r="BZ15" i="3"/>
  <c r="BZ37" i="1" s="1"/>
  <c r="BZ7" i="3"/>
  <c r="BT10" i="3"/>
  <c r="BT7" i="3"/>
  <c r="BZ6" i="3"/>
  <c r="BN7" i="6"/>
  <c r="BN11" i="6" s="1"/>
  <c r="BN15" i="6" s="1"/>
  <c r="BV36" i="6" l="1"/>
  <c r="BV26" i="6"/>
  <c r="BV21" i="6"/>
  <c r="BU21" i="6"/>
  <c r="BU26" i="6"/>
  <c r="BU28" i="6" s="1"/>
  <c r="BW28" i="6"/>
  <c r="BW32" i="6" s="1"/>
  <c r="BW33" i="6"/>
  <c r="BU36" i="6"/>
  <c r="BZ11" i="3"/>
  <c r="BZ36" i="1" s="1"/>
  <c r="BS28" i="6"/>
  <c r="BS32" i="6" s="1"/>
  <c r="BS33" i="6"/>
  <c r="BS21" i="6"/>
  <c r="BS36" i="6"/>
  <c r="BZ19" i="3"/>
  <c r="BZ71" i="4"/>
  <c r="BZ78" i="4" s="1"/>
  <c r="BZ32" i="1" s="1"/>
  <c r="BZ65" i="4"/>
  <c r="BZ61" i="4"/>
  <c r="BZ35" i="4"/>
  <c r="CA35" i="4" s="1"/>
  <c r="BZ31" i="4"/>
  <c r="BZ22" i="4"/>
  <c r="BR27" i="6" s="1"/>
  <c r="BZ19" i="4"/>
  <c r="BZ26" i="4" s="1"/>
  <c r="BZ13" i="4"/>
  <c r="BZ16" i="4" s="1"/>
  <c r="BY37" i="1"/>
  <c r="BY13" i="3"/>
  <c r="BY19" i="3" s="1"/>
  <c r="BY10" i="3"/>
  <c r="BM32" i="2"/>
  <c r="BM26" i="2"/>
  <c r="BM25" i="2"/>
  <c r="BY28" i="1"/>
  <c r="BV28" i="6" l="1"/>
  <c r="BV32" i="6" s="1"/>
  <c r="BV33" i="6"/>
  <c r="BZ68" i="4"/>
  <c r="BZ21" i="3"/>
  <c r="BU32" i="6"/>
  <c r="BU33" i="6"/>
  <c r="BZ38" i="4"/>
  <c r="CA31" i="4"/>
  <c r="BM34" i="2"/>
  <c r="BQ27" i="6"/>
  <c r="BP27" i="6"/>
  <c r="BZ24" i="4"/>
  <c r="BR24" i="6" s="1"/>
  <c r="BZ24" i="1"/>
  <c r="BZ5" i="1"/>
  <c r="BZ28" i="4"/>
  <c r="BY46" i="1"/>
  <c r="BR36" i="6" l="1"/>
  <c r="BZ7" i="1"/>
  <c r="BZ11" i="1" s="1"/>
  <c r="BZ14" i="1" s="1"/>
  <c r="BZ16" i="1" s="1"/>
  <c r="BZ19" i="1" s="1"/>
  <c r="BN42" i="2" s="1"/>
  <c r="BR17" i="6"/>
  <c r="BR21" i="6" s="1"/>
  <c r="BR26" i="6"/>
  <c r="BZ25" i="4"/>
  <c r="BM17" i="2"/>
  <c r="BZ21" i="1" l="1"/>
  <c r="BR33" i="6"/>
  <c r="BR28" i="6"/>
  <c r="BR32" i="6" s="1"/>
  <c r="BM9" i="2"/>
  <c r="BM19" i="2" s="1"/>
  <c r="BY30" i="1" s="1"/>
  <c r="BY41" i="1" s="1"/>
  <c r="BM27" i="6" l="1"/>
  <c r="BM7" i="6"/>
  <c r="BM11" i="6" s="1"/>
  <c r="BM15" i="6" s="1"/>
  <c r="BY78" i="4" l="1"/>
  <c r="BY32" i="1" s="1"/>
  <c r="BY68" i="4"/>
  <c r="BY42" i="4"/>
  <c r="BY41" i="4"/>
  <c r="BY40" i="4"/>
  <c r="BY38" i="4"/>
  <c r="BY27" i="4"/>
  <c r="BY26" i="4"/>
  <c r="BY24" i="4"/>
  <c r="BY13" i="4"/>
  <c r="BY5" i="1" s="1"/>
  <c r="BX28" i="4"/>
  <c r="BX18" i="3"/>
  <c r="BX15" i="3"/>
  <c r="BX10" i="3"/>
  <c r="BL27" i="6"/>
  <c r="BX81" i="4"/>
  <c r="BW81" i="4"/>
  <c r="BY7" i="1" l="1"/>
  <c r="BY39" i="4"/>
  <c r="BY16" i="4"/>
  <c r="BY24" i="1" s="1"/>
  <c r="BL45" i="2"/>
  <c r="BL26" i="2"/>
  <c r="BL25" i="2"/>
  <c r="BL17" i="2"/>
  <c r="BL9" i="2"/>
  <c r="BX43" i="1"/>
  <c r="BX42" i="1"/>
  <c r="BX46" i="1" s="1"/>
  <c r="BX41" i="1"/>
  <c r="BX37" i="1"/>
  <c r="BX19" i="3"/>
  <c r="BX7" i="3"/>
  <c r="BW15" i="3"/>
  <c r="BW10" i="3"/>
  <c r="BX7" i="1"/>
  <c r="BX11" i="1" s="1"/>
  <c r="BX14" i="1" s="1"/>
  <c r="BX16" i="1" s="1"/>
  <c r="BX19" i="1" s="1"/>
  <c r="BX21" i="1" s="1"/>
  <c r="BX78" i="4"/>
  <c r="BX68" i="4"/>
  <c r="BX40" i="4"/>
  <c r="BX41" i="4"/>
  <c r="BX42" i="4"/>
  <c r="BL19" i="2" l="1"/>
  <c r="BY6" i="3"/>
  <c r="BY11" i="3" s="1"/>
  <c r="BY11" i="1"/>
  <c r="BY14" i="1" s="1"/>
  <c r="BY16" i="1" s="1"/>
  <c r="BY19" i="1" s="1"/>
  <c r="BY25" i="4"/>
  <c r="BL42" i="2"/>
  <c r="BL34" i="2"/>
  <c r="BX6" i="3"/>
  <c r="BX11" i="3" s="1"/>
  <c r="BM42" i="2" l="1"/>
  <c r="BY21" i="1"/>
  <c r="BY36" i="1"/>
  <c r="BY21" i="3"/>
  <c r="BX36" i="1"/>
  <c r="BX21" i="3"/>
  <c r="BX26" i="4" l="1"/>
  <c r="BX27" i="4"/>
  <c r="BX24" i="4"/>
  <c r="BX13" i="4"/>
  <c r="BX16" i="4" s="1"/>
  <c r="BX24" i="1" l="1"/>
  <c r="BX5" i="1"/>
  <c r="BX39" i="4"/>
  <c r="BX25" i="4"/>
  <c r="BL7" i="6"/>
  <c r="BL11" i="6" s="1"/>
  <c r="BL15" i="6" s="1"/>
  <c r="BG17" i="2" l="1"/>
  <c r="BF17" i="2"/>
  <c r="BK16" i="2"/>
  <c r="BK17" i="2" s="1"/>
  <c r="BK25" i="2"/>
  <c r="BK9" i="2"/>
  <c r="BW46" i="1"/>
  <c r="CA45" i="1"/>
  <c r="CA44" i="1"/>
  <c r="BW37" i="1"/>
  <c r="CA37" i="1" s="1"/>
  <c r="CA20" i="1"/>
  <c r="CA18" i="1"/>
  <c r="CA17" i="1"/>
  <c r="CA15" i="1"/>
  <c r="CA13" i="1"/>
  <c r="CA12" i="1"/>
  <c r="CA10" i="1"/>
  <c r="CA9" i="1"/>
  <c r="CA8" i="1"/>
  <c r="BW19" i="3"/>
  <c r="CA18" i="3"/>
  <c r="CA17" i="3"/>
  <c r="CA16" i="3"/>
  <c r="CA15" i="3"/>
  <c r="CA13" i="3"/>
  <c r="CA10" i="3"/>
  <c r="BW7" i="3"/>
  <c r="CA7" i="3" s="1"/>
  <c r="BK27" i="6"/>
  <c r="BW78" i="4"/>
  <c r="BW32" i="1" s="1"/>
  <c r="BW68" i="4"/>
  <c r="CA67" i="4"/>
  <c r="CA66" i="4"/>
  <c r="CA65" i="4"/>
  <c r="CA64" i="4"/>
  <c r="CA63" i="4"/>
  <c r="CA61" i="4"/>
  <c r="BW42" i="4"/>
  <c r="BW41" i="4"/>
  <c r="BW40" i="4"/>
  <c r="CA36" i="4"/>
  <c r="CA33" i="4"/>
  <c r="BW27" i="4"/>
  <c r="BW26" i="4"/>
  <c r="BW24" i="4"/>
  <c r="CA23" i="4"/>
  <c r="CA22" i="4"/>
  <c r="CA21" i="4"/>
  <c r="CA19" i="4"/>
  <c r="BN26" i="6" s="1"/>
  <c r="BN33" i="6" s="1"/>
  <c r="CA15" i="4"/>
  <c r="BW13" i="4"/>
  <c r="BW16" i="4" s="1"/>
  <c r="BW24" i="1" s="1"/>
  <c r="CA24" i="1" s="1"/>
  <c r="CA12" i="4"/>
  <c r="CA11" i="4"/>
  <c r="CA10" i="4"/>
  <c r="CA9" i="4"/>
  <c r="CA8" i="4"/>
  <c r="CA6" i="4"/>
  <c r="BK7" i="6"/>
  <c r="BK11" i="6" s="1"/>
  <c r="BK15" i="6" s="1"/>
  <c r="BT37" i="1"/>
  <c r="CA38" i="4" l="1"/>
  <c r="BQ17" i="6" s="1"/>
  <c r="BP17" i="6"/>
  <c r="CA68" i="4"/>
  <c r="BW5" i="1"/>
  <c r="CA5" i="1" s="1"/>
  <c r="BW7" i="1"/>
  <c r="BW11" i="1" s="1"/>
  <c r="BW14" i="1" s="1"/>
  <c r="BW16" i="1" s="1"/>
  <c r="BW19" i="1" s="1"/>
  <c r="BW21" i="1" s="1"/>
  <c r="BN27" i="6"/>
  <c r="BN28" i="6" s="1"/>
  <c r="BN32" i="6" s="1"/>
  <c r="CA28" i="4"/>
  <c r="CA26" i="4"/>
  <c r="CA40" i="4"/>
  <c r="BK34" i="2"/>
  <c r="BK19" i="2"/>
  <c r="BW30" i="1" s="1"/>
  <c r="BW41" i="1" s="1"/>
  <c r="CA19" i="3"/>
  <c r="CA24" i="4"/>
  <c r="BQ24" i="6" s="1"/>
  <c r="BW39" i="4"/>
  <c r="CA41" i="4"/>
  <c r="BW25" i="4"/>
  <c r="CA13" i="4"/>
  <c r="CA16" i="4" s="1"/>
  <c r="CA7" i="1" l="1"/>
  <c r="CA11" i="1" s="1"/>
  <c r="CA14" i="1" s="1"/>
  <c r="CA16" i="1" s="1"/>
  <c r="CA19" i="1" s="1"/>
  <c r="CA21" i="1" s="1"/>
  <c r="BQ26" i="6"/>
  <c r="BQ36" i="6"/>
  <c r="BQ21" i="6"/>
  <c r="BK42" i="2"/>
  <c r="BP24" i="6"/>
  <c r="BP26" i="6" s="1"/>
  <c r="BN24" i="6"/>
  <c r="BN17" i="6"/>
  <c r="BW6" i="3"/>
  <c r="CA6" i="3" s="1"/>
  <c r="CA11" i="3" s="1"/>
  <c r="CA21" i="3" s="1"/>
  <c r="CA39" i="4"/>
  <c r="CA25" i="4"/>
  <c r="BI33" i="2"/>
  <c r="BH32" i="2"/>
  <c r="BQ28" i="6" l="1"/>
  <c r="BQ32" i="6" s="1"/>
  <c r="BQ33" i="6"/>
  <c r="BW11" i="3"/>
  <c r="BW21" i="3" s="1"/>
  <c r="BN21" i="6"/>
  <c r="BP28" i="6"/>
  <c r="BP32" i="6" s="1"/>
  <c r="BP33" i="6"/>
  <c r="BI25" i="2"/>
  <c r="BI34" i="2" s="1"/>
  <c r="BI16" i="2"/>
  <c r="BI17" i="2" s="1"/>
  <c r="BI9" i="2"/>
  <c r="BW36" i="1" l="1"/>
  <c r="CA36" i="1" s="1"/>
  <c r="BI19" i="2"/>
  <c r="BT19" i="3"/>
  <c r="BT11" i="3"/>
  <c r="BI27" i="6"/>
  <c r="BT42" i="4"/>
  <c r="BT41" i="4"/>
  <c r="BT40" i="4"/>
  <c r="BT38" i="4"/>
  <c r="BI7" i="6"/>
  <c r="BI11" i="6" s="1"/>
  <c r="BI15" i="6" s="1"/>
  <c r="BT78" i="4"/>
  <c r="BT68" i="4"/>
  <c r="BT28" i="4"/>
  <c r="BT27" i="4"/>
  <c r="BT26" i="4"/>
  <c r="BT24" i="4"/>
  <c r="BT13" i="4"/>
  <c r="BT5" i="1" s="1"/>
  <c r="BT21" i="3" l="1"/>
  <c r="BT39" i="4"/>
  <c r="BM17" i="6"/>
  <c r="BT7" i="1"/>
  <c r="BT11" i="1" s="1"/>
  <c r="BT14" i="1" s="1"/>
  <c r="BT16" i="1" s="1"/>
  <c r="BT19" i="1" s="1"/>
  <c r="BT16" i="4"/>
  <c r="BT25" i="4" s="1"/>
  <c r="BM24" i="6"/>
  <c r="BS19" i="3"/>
  <c r="BS41" i="1"/>
  <c r="BM21" i="6" l="1"/>
  <c r="BM26" i="6"/>
  <c r="BT21" i="1"/>
  <c r="BI42" i="2"/>
  <c r="BS11" i="1"/>
  <c r="BS14" i="1" s="1"/>
  <c r="BS16" i="1" s="1"/>
  <c r="BS19" i="1" s="1"/>
  <c r="BS21" i="1" s="1"/>
  <c r="BH26" i="2"/>
  <c r="BH25" i="2"/>
  <c r="BH17" i="2"/>
  <c r="BH9" i="2"/>
  <c r="BH42" i="2" l="1"/>
  <c r="BM28" i="6"/>
  <c r="BM32" i="6" s="1"/>
  <c r="BM33" i="6"/>
  <c r="BH19" i="2"/>
  <c r="BH34" i="2"/>
  <c r="BS7" i="3"/>
  <c r="BS6" i="3"/>
  <c r="BH27" i="6"/>
  <c r="BH7" i="6"/>
  <c r="BH11" i="6" s="1"/>
  <c r="BH15" i="6" s="1"/>
  <c r="BS78" i="4"/>
  <c r="BY79" i="4" s="1"/>
  <c r="BS68" i="4"/>
  <c r="BS42" i="4"/>
  <c r="BS41" i="4"/>
  <c r="BS40" i="4"/>
  <c r="BS38" i="4"/>
  <c r="BS26" i="4"/>
  <c r="BS27" i="4"/>
  <c r="BS24" i="4"/>
  <c r="BS13" i="4"/>
  <c r="BS16" i="4" s="1"/>
  <c r="BG45" i="2"/>
  <c r="BF45" i="2"/>
  <c r="BS39" i="4" l="1"/>
  <c r="BS25" i="4"/>
  <c r="BL24" i="6"/>
  <c r="BL26" i="6" s="1"/>
  <c r="BL17" i="6"/>
  <c r="BS11" i="3"/>
  <c r="BS21" i="3" s="1"/>
  <c r="BR41" i="1"/>
  <c r="BR37" i="1"/>
  <c r="BQ37" i="1"/>
  <c r="BL21" i="6" l="1"/>
  <c r="BL28" i="6"/>
  <c r="BL32" i="6" s="1"/>
  <c r="BL33" i="6"/>
  <c r="BR19" i="3"/>
  <c r="BR11" i="1" l="1"/>
  <c r="BR14" i="1" s="1"/>
  <c r="BR16" i="1" s="1"/>
  <c r="BR19" i="1" s="1"/>
  <c r="BR6" i="3"/>
  <c r="BR7" i="3"/>
  <c r="BG25" i="2"/>
  <c r="BG34" i="2" s="1"/>
  <c r="BG9" i="2"/>
  <c r="BG27" i="6"/>
  <c r="BG42" i="2" l="1"/>
  <c r="BR21" i="1"/>
  <c r="BR11" i="3"/>
  <c r="BR36" i="1" s="1"/>
  <c r="BG19" i="2"/>
  <c r="BG7" i="6"/>
  <c r="BG11" i="6" s="1"/>
  <c r="BG15" i="6" s="1"/>
  <c r="BR81" i="4"/>
  <c r="BR80" i="4"/>
  <c r="BR78" i="4"/>
  <c r="BR68" i="4"/>
  <c r="BR40" i="4"/>
  <c r="BR41" i="4"/>
  <c r="BR42" i="4"/>
  <c r="BR38" i="4"/>
  <c r="BR27" i="4"/>
  <c r="BR32" i="1" l="1"/>
  <c r="BX79" i="4"/>
  <c r="BK17" i="6"/>
  <c r="BK24" i="6" s="1"/>
  <c r="BK26" i="6" s="1"/>
  <c r="BR21" i="3"/>
  <c r="BR24" i="4"/>
  <c r="BR13" i="4"/>
  <c r="BR16" i="4" s="1"/>
  <c r="BR24" i="1" l="1"/>
  <c r="BR25" i="4"/>
  <c r="BK28" i="6"/>
  <c r="BK32" i="6" s="1"/>
  <c r="BK33" i="6"/>
  <c r="BR39" i="4"/>
  <c r="BF27" i="6"/>
  <c r="BQ10" i="3"/>
  <c r="BQ7" i="3"/>
  <c r="BQ46" i="1"/>
  <c r="BQ80" i="4"/>
  <c r="BU45" i="1" l="1"/>
  <c r="BU44" i="1"/>
  <c r="BU20" i="1"/>
  <c r="BU18" i="1"/>
  <c r="BU17" i="1"/>
  <c r="BU15" i="1"/>
  <c r="BU13" i="1"/>
  <c r="BU12" i="1"/>
  <c r="BU10" i="1"/>
  <c r="BU9" i="1"/>
  <c r="BU8" i="1"/>
  <c r="BF25" i="2"/>
  <c r="BF34" i="2" s="1"/>
  <c r="BF9" i="2"/>
  <c r="BQ19" i="3"/>
  <c r="BU18" i="3"/>
  <c r="BU17" i="3"/>
  <c r="BU16" i="3"/>
  <c r="BU15" i="3"/>
  <c r="BU13" i="3"/>
  <c r="BU7" i="3"/>
  <c r="BQ81" i="4"/>
  <c r="BQ78" i="4"/>
  <c r="BQ68" i="4"/>
  <c r="BU67" i="4"/>
  <c r="BU66" i="4"/>
  <c r="BU65" i="4"/>
  <c r="BU64" i="4"/>
  <c r="BU63" i="4"/>
  <c r="BU62" i="4"/>
  <c r="BY81" i="4" s="1"/>
  <c r="BU61" i="4"/>
  <c r="BQ42" i="4"/>
  <c r="BQ41" i="4"/>
  <c r="BQ40" i="4"/>
  <c r="BQ38" i="4"/>
  <c r="BU37" i="4"/>
  <c r="BU36" i="4"/>
  <c r="BU35" i="4"/>
  <c r="BU34" i="4"/>
  <c r="BU33" i="4"/>
  <c r="BU32" i="4"/>
  <c r="BU31" i="4"/>
  <c r="BQ27" i="4"/>
  <c r="BQ26" i="4"/>
  <c r="BQ24" i="4"/>
  <c r="BU23" i="4"/>
  <c r="BU22" i="4"/>
  <c r="BU21" i="4"/>
  <c r="BU20" i="4"/>
  <c r="BU19" i="4"/>
  <c r="BU15" i="4"/>
  <c r="BQ13" i="4"/>
  <c r="BU12" i="4"/>
  <c r="BU11" i="4"/>
  <c r="BU10" i="4"/>
  <c r="BU9" i="4"/>
  <c r="BU8" i="4"/>
  <c r="BU7" i="4"/>
  <c r="BU6" i="4"/>
  <c r="BF7" i="6"/>
  <c r="BF11" i="6" s="1"/>
  <c r="BF15" i="6" s="1"/>
  <c r="BN19" i="3"/>
  <c r="BN6" i="3"/>
  <c r="BN11" i="3" s="1"/>
  <c r="BD25" i="2"/>
  <c r="BD34" i="2" s="1"/>
  <c r="BD12" i="2"/>
  <c r="BD17" i="2" s="1"/>
  <c r="BD9" i="2"/>
  <c r="BN11" i="1"/>
  <c r="BN14" i="1" s="1"/>
  <c r="BN16" i="1" s="1"/>
  <c r="BN19" i="1" s="1"/>
  <c r="AY27" i="6"/>
  <c r="AX27" i="6"/>
  <c r="AW27" i="6"/>
  <c r="AV27" i="6"/>
  <c r="AS27" i="6"/>
  <c r="AR27" i="6"/>
  <c r="AQ27" i="6"/>
  <c r="AN27" i="6"/>
  <c r="AM27" i="6"/>
  <c r="AL27" i="6"/>
  <c r="BD7" i="6"/>
  <c r="BD11" i="6" s="1"/>
  <c r="BD15" i="6" s="1"/>
  <c r="BN78" i="4"/>
  <c r="BN68" i="4"/>
  <c r="BN42" i="4"/>
  <c r="BN41" i="4"/>
  <c r="BN40" i="4"/>
  <c r="BN38" i="4"/>
  <c r="BN24" i="4"/>
  <c r="BN13" i="4"/>
  <c r="BN16" i="4" s="1"/>
  <c r="BN24" i="1" s="1"/>
  <c r="BM80" i="4"/>
  <c r="BL80" i="4"/>
  <c r="BK80" i="4"/>
  <c r="BH81" i="4"/>
  <c r="BH80" i="4"/>
  <c r="BG81" i="4"/>
  <c r="BG80" i="4"/>
  <c r="BF81" i="4"/>
  <c r="BF80" i="4"/>
  <c r="BE81" i="4"/>
  <c r="BE80" i="4"/>
  <c r="BB80" i="4"/>
  <c r="BA81" i="4"/>
  <c r="AZ81" i="4"/>
  <c r="AY81" i="4"/>
  <c r="BB31" i="4"/>
  <c r="AV81" i="4"/>
  <c r="AU81" i="4"/>
  <c r="AT81" i="4"/>
  <c r="AS81" i="4"/>
  <c r="AS37" i="4"/>
  <c r="AS31" i="4"/>
  <c r="AO81" i="4"/>
  <c r="AN81" i="4"/>
  <c r="AM81" i="4"/>
  <c r="AI81" i="4"/>
  <c r="AH81" i="4"/>
  <c r="AG81" i="4"/>
  <c r="AC81" i="4"/>
  <c r="AC80" i="4"/>
  <c r="AB81" i="4"/>
  <c r="AB80" i="4"/>
  <c r="AA81" i="4"/>
  <c r="AA80" i="4"/>
  <c r="W80" i="4"/>
  <c r="W81" i="4"/>
  <c r="X10" i="4"/>
  <c r="X7" i="4"/>
  <c r="X6" i="4"/>
  <c r="AW21" i="6"/>
  <c r="AO14" i="6"/>
  <c r="AN14" i="6"/>
  <c r="AM14" i="6"/>
  <c r="AB21" i="6"/>
  <c r="J20" i="6"/>
  <c r="I20" i="6"/>
  <c r="L15" i="4"/>
  <c r="K15" i="4"/>
  <c r="J15" i="4"/>
  <c r="I15" i="4"/>
  <c r="BL10" i="3"/>
  <c r="BH6" i="3"/>
  <c r="AI10" i="3"/>
  <c r="W15" i="3"/>
  <c r="BD19" i="2" l="1"/>
  <c r="BN21" i="3"/>
  <c r="BD42" i="2"/>
  <c r="BN21" i="1"/>
  <c r="BQ16" i="4"/>
  <c r="BQ24" i="1" s="1"/>
  <c r="BU24" i="1" s="1"/>
  <c r="BQ5" i="1"/>
  <c r="BU5" i="1" s="1"/>
  <c r="BH17" i="6"/>
  <c r="BI17" i="6"/>
  <c r="BQ7" i="1"/>
  <c r="BW79" i="4"/>
  <c r="BQ32" i="1"/>
  <c r="BN39" i="4"/>
  <c r="BN5" i="1"/>
  <c r="BH24" i="6"/>
  <c r="BI24" i="6"/>
  <c r="BU26" i="4"/>
  <c r="BU19" i="3"/>
  <c r="BU37" i="1"/>
  <c r="BU40" i="4"/>
  <c r="BF19" i="2"/>
  <c r="BQ30" i="1" s="1"/>
  <c r="BQ41" i="1" s="1"/>
  <c r="BU68" i="4"/>
  <c r="BU27" i="4"/>
  <c r="BQ39" i="4"/>
  <c r="BU41" i="4"/>
  <c r="BU42" i="4"/>
  <c r="BU10" i="3"/>
  <c r="BU13" i="4"/>
  <c r="BU24" i="4"/>
  <c r="BU38" i="4"/>
  <c r="BQ25" i="4" l="1"/>
  <c r="BI21" i="6"/>
  <c r="BI36" i="6"/>
  <c r="BI26" i="6"/>
  <c r="BH26" i="6"/>
  <c r="BH21" i="6"/>
  <c r="BH36" i="6"/>
  <c r="BQ6" i="3"/>
  <c r="BQ11" i="1"/>
  <c r="BQ14" i="1" s="1"/>
  <c r="BQ16" i="1" s="1"/>
  <c r="BQ19" i="1" s="1"/>
  <c r="BU7" i="1"/>
  <c r="BU11" i="1" s="1"/>
  <c r="BU14" i="1" s="1"/>
  <c r="BU16" i="1" s="1"/>
  <c r="BU19" i="1" s="1"/>
  <c r="BU21" i="1" s="1"/>
  <c r="BU39" i="4"/>
  <c r="BU16" i="4"/>
  <c r="BU25" i="4" s="1"/>
  <c r="BB44" i="2"/>
  <c r="AX26" i="2"/>
  <c r="AT26" i="2"/>
  <c r="AS26" i="2"/>
  <c r="AL45" i="2"/>
  <c r="BF42" i="2" l="1"/>
  <c r="BQ21" i="1"/>
  <c r="BH28" i="6"/>
  <c r="BH32" i="6" s="1"/>
  <c r="BH33" i="6"/>
  <c r="BQ11" i="3"/>
  <c r="BU6" i="3"/>
  <c r="BU11" i="3" s="1"/>
  <c r="BU21" i="3" s="1"/>
  <c r="BI28" i="6"/>
  <c r="BI32" i="6" s="1"/>
  <c r="BI33" i="6"/>
  <c r="AB44" i="2"/>
  <c r="AB26" i="2"/>
  <c r="X32" i="2"/>
  <c r="X26" i="2"/>
  <c r="U32" i="2"/>
  <c r="U26" i="2"/>
  <c r="T26" i="2"/>
  <c r="P32" i="2"/>
  <c r="BO24" i="1"/>
  <c r="BH28" i="1"/>
  <c r="BG28" i="1"/>
  <c r="BF28" i="1"/>
  <c r="BE28" i="1"/>
  <c r="BI24" i="1"/>
  <c r="BA28" i="1"/>
  <c r="AW24" i="1"/>
  <c r="AQ24" i="1"/>
  <c r="AK24" i="1"/>
  <c r="AH37" i="1"/>
  <c r="AE24" i="1"/>
  <c r="BH9" i="1"/>
  <c r="F15" i="4"/>
  <c r="E15" i="4"/>
  <c r="D15" i="4"/>
  <c r="C15" i="4"/>
  <c r="C13" i="3"/>
  <c r="D26" i="2"/>
  <c r="C26" i="2"/>
  <c r="C22" i="2"/>
  <c r="BQ36" i="1" l="1"/>
  <c r="BU36" i="1" s="1"/>
  <c r="BQ21" i="3"/>
  <c r="BM19" i="3"/>
  <c r="BM11" i="3"/>
  <c r="BC25" i="2"/>
  <c r="BC34" i="2" s="1"/>
  <c r="BC17" i="2"/>
  <c r="BC9" i="2"/>
  <c r="BC27" i="6"/>
  <c r="BM81" i="4"/>
  <c r="BM78" i="4"/>
  <c r="BM68" i="4"/>
  <c r="BM40" i="4"/>
  <c r="BM41" i="4"/>
  <c r="BM42" i="4"/>
  <c r="BM38" i="4"/>
  <c r="BM26" i="4"/>
  <c r="BM27" i="4"/>
  <c r="BM28" i="4"/>
  <c r="BM24" i="4"/>
  <c r="BM13" i="4"/>
  <c r="BC7" i="6"/>
  <c r="BC11" i="6" s="1"/>
  <c r="BL47" i="1"/>
  <c r="BL42" i="1"/>
  <c r="BB25" i="2"/>
  <c r="BB34" i="2" s="1"/>
  <c r="BB17" i="2"/>
  <c r="BB9" i="2"/>
  <c r="BL19" i="3"/>
  <c r="BL11" i="3"/>
  <c r="BB27" i="6"/>
  <c r="BB7" i="6"/>
  <c r="BB11" i="6" s="1"/>
  <c r="BL81" i="4"/>
  <c r="BL78" i="4"/>
  <c r="BL68" i="4"/>
  <c r="BL40" i="4"/>
  <c r="BL41" i="4"/>
  <c r="BL42" i="4"/>
  <c r="BL38" i="4"/>
  <c r="BL26" i="4"/>
  <c r="BL27" i="4"/>
  <c r="BL28" i="4"/>
  <c r="BL24" i="4"/>
  <c r="BL13" i="4"/>
  <c r="BL16" i="4" s="1"/>
  <c r="BA27" i="6"/>
  <c r="BK81" i="4"/>
  <c r="BK47" i="1"/>
  <c r="BO45" i="1"/>
  <c r="BO44" i="1"/>
  <c r="BK42" i="1"/>
  <c r="BO20" i="1"/>
  <c r="BO18" i="1"/>
  <c r="BO17" i="1"/>
  <c r="BO15" i="1"/>
  <c r="BO13" i="1"/>
  <c r="BO12" i="1"/>
  <c r="BO10" i="1"/>
  <c r="BO9" i="1"/>
  <c r="BO8" i="1"/>
  <c r="BA25" i="2"/>
  <c r="BA34" i="2" s="1"/>
  <c r="BA17" i="2"/>
  <c r="BA9" i="2"/>
  <c r="BK19" i="3"/>
  <c r="BO18" i="3"/>
  <c r="BO17" i="3"/>
  <c r="BO16" i="3"/>
  <c r="BO15" i="3"/>
  <c r="BO13" i="3"/>
  <c r="BK11" i="3"/>
  <c r="BO10" i="3"/>
  <c r="BO7" i="3"/>
  <c r="BK78" i="4"/>
  <c r="BK32" i="1" s="1"/>
  <c r="BK68" i="4"/>
  <c r="BO67" i="4"/>
  <c r="BO66" i="4"/>
  <c r="BO65" i="4"/>
  <c r="BO64" i="4"/>
  <c r="BO63" i="4"/>
  <c r="BO62" i="4"/>
  <c r="BO61" i="4"/>
  <c r="BK42" i="4"/>
  <c r="BK41" i="4"/>
  <c r="BK40" i="4"/>
  <c r="BK38" i="4"/>
  <c r="BO37" i="4"/>
  <c r="BO36" i="4"/>
  <c r="BO35" i="4"/>
  <c r="BO34" i="4"/>
  <c r="BO33" i="4"/>
  <c r="BO32" i="4"/>
  <c r="BO31" i="4"/>
  <c r="BK28" i="4"/>
  <c r="BK27" i="4"/>
  <c r="BK26" i="4"/>
  <c r="BK24" i="4"/>
  <c r="BO23" i="4"/>
  <c r="BO22" i="4"/>
  <c r="BD27" i="6" s="1"/>
  <c r="BO21" i="4"/>
  <c r="BO20" i="4"/>
  <c r="BO19" i="4"/>
  <c r="BO15" i="4"/>
  <c r="BK13" i="4"/>
  <c r="BK16" i="4" s="1"/>
  <c r="BO12" i="4"/>
  <c r="BO11" i="4"/>
  <c r="BO10" i="4"/>
  <c r="BO9" i="4"/>
  <c r="BO8" i="4"/>
  <c r="BO7" i="4"/>
  <c r="BO6" i="4"/>
  <c r="BA7" i="6"/>
  <c r="AP28" i="4"/>
  <c r="AO28" i="4"/>
  <c r="AN28" i="4"/>
  <c r="AM28" i="4"/>
  <c r="AV28" i="4"/>
  <c r="AU28" i="4"/>
  <c r="AT28" i="4"/>
  <c r="AS28" i="4"/>
  <c r="BB28" i="4"/>
  <c r="BA28" i="4"/>
  <c r="AZ28" i="4"/>
  <c r="AY28" i="4"/>
  <c r="BG28" i="4"/>
  <c r="BF28" i="4"/>
  <c r="BE28" i="4"/>
  <c r="BH28" i="4"/>
  <c r="BH27" i="4"/>
  <c r="BG27" i="4"/>
  <c r="BF27" i="4"/>
  <c r="BE27" i="4"/>
  <c r="BH26" i="4"/>
  <c r="BG26" i="4"/>
  <c r="BF26" i="4"/>
  <c r="BE26" i="4"/>
  <c r="BH24" i="4"/>
  <c r="BG24" i="4"/>
  <c r="BF24" i="4"/>
  <c r="BE24" i="4"/>
  <c r="BI23" i="4"/>
  <c r="BI22" i="4"/>
  <c r="BI21" i="4"/>
  <c r="BI20" i="4"/>
  <c r="BI19" i="4"/>
  <c r="BB27" i="4"/>
  <c r="BA27" i="4"/>
  <c r="AZ27" i="4"/>
  <c r="AY27" i="4"/>
  <c r="BB26" i="4"/>
  <c r="BA26" i="4"/>
  <c r="AZ26" i="4"/>
  <c r="AY26" i="4"/>
  <c r="BB24" i="4"/>
  <c r="BA24" i="4"/>
  <c r="AZ24" i="4"/>
  <c r="AY24" i="4"/>
  <c r="BC23" i="4"/>
  <c r="BC22" i="4"/>
  <c r="BC21" i="4"/>
  <c r="BC20" i="4"/>
  <c r="BC19" i="4"/>
  <c r="AV27" i="4"/>
  <c r="AU27" i="4"/>
  <c r="AT27" i="4"/>
  <c r="AS27" i="4"/>
  <c r="AV26" i="4"/>
  <c r="AU26" i="4"/>
  <c r="AT26" i="4"/>
  <c r="AS26" i="4"/>
  <c r="AV24" i="4"/>
  <c r="AU24" i="4"/>
  <c r="AT24" i="4"/>
  <c r="AS24" i="4"/>
  <c r="AW23" i="4"/>
  <c r="AW22" i="4"/>
  <c r="AW21" i="4"/>
  <c r="AW20" i="4"/>
  <c r="AW19" i="4"/>
  <c r="AP24" i="4"/>
  <c r="AO24" i="4"/>
  <c r="AN24" i="4"/>
  <c r="AM24" i="4"/>
  <c r="AP27" i="4"/>
  <c r="AO27" i="4"/>
  <c r="AN27" i="4"/>
  <c r="AM27" i="4"/>
  <c r="AP26" i="4"/>
  <c r="AO26" i="4"/>
  <c r="AN26" i="4"/>
  <c r="AM26" i="4"/>
  <c r="AQ23" i="4"/>
  <c r="AQ22" i="4"/>
  <c r="AQ21" i="4"/>
  <c r="AQ20" i="4"/>
  <c r="AQ19" i="4"/>
  <c r="AH26" i="4"/>
  <c r="AI26" i="4"/>
  <c r="AJ26" i="4"/>
  <c r="AH27" i="4"/>
  <c r="AI27" i="4"/>
  <c r="AJ27" i="4"/>
  <c r="AG27" i="4"/>
  <c r="AG26" i="4"/>
  <c r="AK23" i="4"/>
  <c r="AJ24" i="4"/>
  <c r="AI24" i="4"/>
  <c r="AH24" i="4"/>
  <c r="AG24" i="4"/>
  <c r="BL39" i="4" l="1"/>
  <c r="BR79" i="4"/>
  <c r="BL21" i="3"/>
  <c r="BM21" i="3"/>
  <c r="BM11" i="1"/>
  <c r="BM14" i="1" s="1"/>
  <c r="BM16" i="1" s="1"/>
  <c r="BM19" i="1" s="1"/>
  <c r="BC42" i="2" s="1"/>
  <c r="BD17" i="6"/>
  <c r="BD24" i="6" s="1"/>
  <c r="BF17" i="6"/>
  <c r="BF24" i="6" s="1"/>
  <c r="BG17" i="6"/>
  <c r="BG24" i="6" s="1"/>
  <c r="BG36" i="6" s="1"/>
  <c r="BO27" i="4"/>
  <c r="BA11" i="6"/>
  <c r="BA15" i="6" s="1"/>
  <c r="BQ79" i="4"/>
  <c r="BL25" i="4"/>
  <c r="BB19" i="2"/>
  <c r="BC19" i="2"/>
  <c r="BL11" i="1"/>
  <c r="BL14" i="1" s="1"/>
  <c r="BL16" i="1" s="1"/>
  <c r="BL19" i="1" s="1"/>
  <c r="BB42" i="2" s="1"/>
  <c r="BM16" i="4"/>
  <c r="BO16" i="4" s="1"/>
  <c r="BM39" i="4"/>
  <c r="BB15" i="6"/>
  <c r="BC15" i="6"/>
  <c r="BO37" i="1"/>
  <c r="BA19" i="2"/>
  <c r="BK30" i="1" s="1"/>
  <c r="BK21" i="3"/>
  <c r="BO36" i="1"/>
  <c r="BO19" i="3"/>
  <c r="BK11" i="1"/>
  <c r="BK14" i="1" s="1"/>
  <c r="BK16" i="1" s="1"/>
  <c r="BK19" i="1" s="1"/>
  <c r="BK39" i="4"/>
  <c r="BO41" i="4"/>
  <c r="BO26" i="4"/>
  <c r="BO68" i="4"/>
  <c r="BO13" i="4"/>
  <c r="BO42" i="4"/>
  <c r="BO6" i="3"/>
  <c r="BO11" i="3" s="1"/>
  <c r="BK25" i="4"/>
  <c r="BO24" i="4"/>
  <c r="BO38" i="4"/>
  <c r="BO40" i="4"/>
  <c r="AQ24" i="4"/>
  <c r="BI24" i="4"/>
  <c r="BC24" i="4"/>
  <c r="AW24" i="4"/>
  <c r="AK20" i="4"/>
  <c r="AK21" i="4"/>
  <c r="AK22" i="4"/>
  <c r="AK19" i="4"/>
  <c r="BI9" i="1"/>
  <c r="AY25" i="2"/>
  <c r="AY34" i="2" s="1"/>
  <c r="BH30" i="1" s="1"/>
  <c r="AY17" i="2"/>
  <c r="AY9" i="2"/>
  <c r="BH19" i="3"/>
  <c r="BH11" i="3"/>
  <c r="BH78" i="4"/>
  <c r="BH32" i="1" s="1"/>
  <c r="BH68" i="4"/>
  <c r="BH42" i="4"/>
  <c r="BH41" i="4"/>
  <c r="BH40" i="4"/>
  <c r="BH38" i="4"/>
  <c r="BH11" i="1" s="1"/>
  <c r="BH14" i="1" s="1"/>
  <c r="BH16" i="1" s="1"/>
  <c r="BH19" i="1" s="1"/>
  <c r="BH13" i="4"/>
  <c r="AX25" i="2"/>
  <c r="AX34" i="2" s="1"/>
  <c r="BG30" i="1" s="1"/>
  <c r="AX17" i="2"/>
  <c r="AX9" i="2"/>
  <c r="BG19" i="3"/>
  <c r="BG11" i="3"/>
  <c r="BG78" i="4"/>
  <c r="BG32" i="1" s="1"/>
  <c r="BG68" i="4"/>
  <c r="BG42" i="4"/>
  <c r="BG41" i="4"/>
  <c r="BG40" i="4"/>
  <c r="BG38" i="4"/>
  <c r="BG11" i="1" s="1"/>
  <c r="BG14" i="1" s="1"/>
  <c r="BG16" i="1" s="1"/>
  <c r="BG19" i="1" s="1"/>
  <c r="BG13" i="4"/>
  <c r="BG16" i="4" s="1"/>
  <c r="BG25" i="4" s="1"/>
  <c r="AW25" i="2"/>
  <c r="AW34" i="2" s="1"/>
  <c r="BF30" i="1" s="1"/>
  <c r="AW17" i="2"/>
  <c r="AW9" i="2"/>
  <c r="BF47" i="1"/>
  <c r="BF19" i="3"/>
  <c r="BF11" i="3"/>
  <c r="BF78" i="4"/>
  <c r="BF32" i="1" s="1"/>
  <c r="BF68" i="4"/>
  <c r="BF42" i="4"/>
  <c r="BF41" i="4"/>
  <c r="BF40" i="4"/>
  <c r="BF38" i="4"/>
  <c r="BF13" i="4"/>
  <c r="BF16" i="4" s="1"/>
  <c r="BF25" i="4" s="1"/>
  <c r="BE47" i="1"/>
  <c r="BI45" i="1"/>
  <c r="BI44" i="1"/>
  <c r="BH42" i="1"/>
  <c r="BG42" i="1"/>
  <c r="BF42" i="1"/>
  <c r="BE42" i="1"/>
  <c r="BI20" i="1"/>
  <c r="BI18" i="1"/>
  <c r="BI17" i="1"/>
  <c r="BI15" i="1"/>
  <c r="BI13" i="1"/>
  <c r="BI12" i="1"/>
  <c r="BI10" i="1"/>
  <c r="BI8" i="1"/>
  <c r="AV25" i="2"/>
  <c r="AV34" i="2" s="1"/>
  <c r="BE30" i="1" s="1"/>
  <c r="AV17" i="2"/>
  <c r="AV9" i="2"/>
  <c r="BE19" i="3"/>
  <c r="BI18" i="3"/>
  <c r="BI17" i="3"/>
  <c r="BI16" i="3"/>
  <c r="BI15" i="3"/>
  <c r="BI13" i="3"/>
  <c r="BE11" i="3"/>
  <c r="BI10" i="3"/>
  <c r="BI7" i="3"/>
  <c r="BE78" i="4"/>
  <c r="BE32" i="1" s="1"/>
  <c r="BE68" i="4"/>
  <c r="BI67" i="4"/>
  <c r="BI66" i="4"/>
  <c r="BI65" i="4"/>
  <c r="BI64" i="4"/>
  <c r="BI63" i="4"/>
  <c r="BI62" i="4"/>
  <c r="BI61" i="4"/>
  <c r="BE42" i="4"/>
  <c r="BE41" i="4"/>
  <c r="BE40" i="4"/>
  <c r="BE38" i="4"/>
  <c r="BI37" i="4"/>
  <c r="BI36" i="4"/>
  <c r="BI35" i="4"/>
  <c r="BI34" i="4"/>
  <c r="BI33" i="4"/>
  <c r="BI32" i="4"/>
  <c r="BI15" i="4"/>
  <c r="BI26" i="4" s="1"/>
  <c r="BE13" i="4"/>
  <c r="BI12" i="4"/>
  <c r="BI11" i="4"/>
  <c r="BI10" i="4"/>
  <c r="BI28" i="4" s="1"/>
  <c r="BI9" i="4"/>
  <c r="BI8" i="4"/>
  <c r="BI7" i="4"/>
  <c r="BI27" i="4" s="1"/>
  <c r="BI6" i="4"/>
  <c r="BI31" i="4"/>
  <c r="BI40" i="4" s="1"/>
  <c r="AY7" i="6"/>
  <c r="AX7" i="6"/>
  <c r="AW7" i="6"/>
  <c r="AV7" i="6"/>
  <c r="BB81" i="4"/>
  <c r="BB11" i="1"/>
  <c r="BB14" i="1" s="1"/>
  <c r="BB16" i="1" s="1"/>
  <c r="BB19" i="1" s="1"/>
  <c r="BB21" i="1" s="1"/>
  <c r="BB68" i="4"/>
  <c r="AT25" i="2"/>
  <c r="AT17" i="2"/>
  <c r="AT9" i="2"/>
  <c r="BB78" i="4"/>
  <c r="BB13" i="4"/>
  <c r="BB16" i="4" s="1"/>
  <c r="BB40" i="4"/>
  <c r="BB42" i="4"/>
  <c r="BB47" i="1"/>
  <c r="BB42" i="1"/>
  <c r="BC15" i="1"/>
  <c r="BB19" i="3"/>
  <c r="BB11" i="3"/>
  <c r="BC6" i="3"/>
  <c r="BA80" i="4"/>
  <c r="BA47" i="1"/>
  <c r="BA42" i="1"/>
  <c r="AS25" i="2"/>
  <c r="AS17" i="2"/>
  <c r="AS9" i="2"/>
  <c r="BA19" i="3"/>
  <c r="BA11" i="3"/>
  <c r="BA78" i="4"/>
  <c r="BA32" i="1" s="1"/>
  <c r="BA68" i="4"/>
  <c r="BA42" i="4"/>
  <c r="BA41" i="4"/>
  <c r="BA40" i="4"/>
  <c r="BA38" i="4"/>
  <c r="BA11" i="1" s="1"/>
  <c r="BA14" i="1" s="1"/>
  <c r="BA16" i="1" s="1"/>
  <c r="BA19" i="1" s="1"/>
  <c r="BA21" i="1" s="1"/>
  <c r="BA13" i="4"/>
  <c r="AZ47" i="1"/>
  <c r="AZ42" i="1"/>
  <c r="AR25" i="2"/>
  <c r="AR34" i="2" s="1"/>
  <c r="AR17" i="2"/>
  <c r="AR9" i="2"/>
  <c r="AZ19" i="3"/>
  <c r="AZ11" i="3"/>
  <c r="AZ80" i="4"/>
  <c r="AZ78" i="4"/>
  <c r="AZ32" i="1" s="1"/>
  <c r="AZ68" i="4"/>
  <c r="AZ42" i="4"/>
  <c r="AZ41" i="4"/>
  <c r="AZ40" i="4"/>
  <c r="AZ38" i="4"/>
  <c r="AZ11" i="1" s="1"/>
  <c r="AZ14" i="1" s="1"/>
  <c r="AZ16" i="1" s="1"/>
  <c r="AZ19" i="1" s="1"/>
  <c r="AZ21" i="1" s="1"/>
  <c r="AZ13" i="4"/>
  <c r="BC7" i="4"/>
  <c r="BC27" i="4" s="1"/>
  <c r="AY47" i="1"/>
  <c r="BC45" i="1"/>
  <c r="BC44" i="1"/>
  <c r="AY42" i="1"/>
  <c r="BC20" i="1"/>
  <c r="BC18" i="1"/>
  <c r="BC17" i="1"/>
  <c r="BC13" i="1"/>
  <c r="BC12" i="1"/>
  <c r="BC10" i="1"/>
  <c r="BC8" i="1"/>
  <c r="AQ25" i="2"/>
  <c r="AQ34" i="2" s="1"/>
  <c r="AQ17" i="2"/>
  <c r="AQ9" i="2"/>
  <c r="AY19" i="3"/>
  <c r="BC18" i="3"/>
  <c r="BC17" i="3"/>
  <c r="BC16" i="3"/>
  <c r="BC15" i="3"/>
  <c r="BC13" i="3"/>
  <c r="AY11" i="3"/>
  <c r="BC10" i="3"/>
  <c r="BC7" i="3"/>
  <c r="AY80" i="4"/>
  <c r="AY78" i="4"/>
  <c r="AY32" i="1" s="1"/>
  <c r="AY68" i="4"/>
  <c r="BC67" i="4"/>
  <c r="BC66" i="4"/>
  <c r="BC65" i="4"/>
  <c r="BC64" i="4"/>
  <c r="BC63" i="4"/>
  <c r="BC62" i="4"/>
  <c r="BC61" i="4"/>
  <c r="AY42" i="4"/>
  <c r="BC37" i="4"/>
  <c r="BC36" i="4"/>
  <c r="BC35" i="4"/>
  <c r="AT27" i="6" s="1"/>
  <c r="BC34" i="4"/>
  <c r="BC33" i="4"/>
  <c r="BC32" i="4"/>
  <c r="AY41" i="4"/>
  <c r="BC15" i="4"/>
  <c r="BC26" i="4" s="1"/>
  <c r="AY13" i="4"/>
  <c r="AY16" i="4" s="1"/>
  <c r="AY25" i="4" s="1"/>
  <c r="BC12" i="4"/>
  <c r="BC11" i="4"/>
  <c r="BC10" i="4"/>
  <c r="BC28" i="4" s="1"/>
  <c r="BC9" i="4"/>
  <c r="BC8" i="4"/>
  <c r="BC6" i="4"/>
  <c r="AT7" i="6"/>
  <c r="AS7" i="6"/>
  <c r="AR7" i="6"/>
  <c r="AQ7" i="6"/>
  <c r="AQ11" i="6" s="1"/>
  <c r="AV80" i="4"/>
  <c r="AV42" i="4"/>
  <c r="AV41" i="4"/>
  <c r="AV40" i="4"/>
  <c r="AO25" i="2"/>
  <c r="AO34" i="2" s="1"/>
  <c r="AW37" i="4"/>
  <c r="AW31" i="4"/>
  <c r="AN25" i="2"/>
  <c r="AN34" i="2" s="1"/>
  <c r="AU80" i="4"/>
  <c r="AU40" i="4"/>
  <c r="AU41" i="4"/>
  <c r="AU42" i="4"/>
  <c r="AM25" i="2"/>
  <c r="AM34" i="2" s="1"/>
  <c r="AT80" i="4"/>
  <c r="AT42" i="4"/>
  <c r="AT41" i="4"/>
  <c r="AT40" i="4"/>
  <c r="AO7" i="6"/>
  <c r="AO11" i="6" s="1"/>
  <c r="AN7" i="6"/>
  <c r="AN11" i="6" s="1"/>
  <c r="AM7" i="6"/>
  <c r="AM11" i="6" s="1"/>
  <c r="AL7" i="6"/>
  <c r="AS80" i="4"/>
  <c r="AV78" i="4"/>
  <c r="AU78" i="4"/>
  <c r="AT78" i="4"/>
  <c r="AS78" i="4"/>
  <c r="AS32" i="1" s="1"/>
  <c r="AV68" i="4"/>
  <c r="AU68" i="4"/>
  <c r="AT68" i="4"/>
  <c r="AS68" i="4"/>
  <c r="AW67" i="4"/>
  <c r="AW66" i="4"/>
  <c r="AW65" i="4"/>
  <c r="AW64" i="4"/>
  <c r="AW63" i="4"/>
  <c r="AW62" i="4"/>
  <c r="AW61" i="4"/>
  <c r="AS42" i="4"/>
  <c r="AS41" i="4"/>
  <c r="AV38" i="4"/>
  <c r="AV11" i="1" s="1"/>
  <c r="AV14" i="1" s="1"/>
  <c r="AV16" i="1" s="1"/>
  <c r="AV19" i="1" s="1"/>
  <c r="AU38" i="4"/>
  <c r="AT38" i="4"/>
  <c r="AW36" i="4"/>
  <c r="AW35" i="4"/>
  <c r="AO27" i="6" s="1"/>
  <c r="AW34" i="4"/>
  <c r="AW33" i="4"/>
  <c r="AW32" i="4"/>
  <c r="AW15" i="4"/>
  <c r="AW26" i="4" s="1"/>
  <c r="AV13" i="4"/>
  <c r="AV16" i="4" s="1"/>
  <c r="AV25" i="4" s="1"/>
  <c r="AU13" i="4"/>
  <c r="AU16" i="4" s="1"/>
  <c r="AT13" i="4"/>
  <c r="AT16" i="4" s="1"/>
  <c r="AT25" i="4" s="1"/>
  <c r="AS13" i="4"/>
  <c r="AS16" i="4" s="1"/>
  <c r="AW12" i="4"/>
  <c r="AW11" i="4"/>
  <c r="AW10" i="4"/>
  <c r="AW28" i="4" s="1"/>
  <c r="AW9" i="4"/>
  <c r="AW8" i="4"/>
  <c r="AW7" i="4"/>
  <c r="AW6" i="4"/>
  <c r="AV19" i="3"/>
  <c r="AU19" i="3"/>
  <c r="AT19" i="3"/>
  <c r="AS19" i="3"/>
  <c r="AW18" i="3"/>
  <c r="AW17" i="3"/>
  <c r="AW16" i="3"/>
  <c r="AW15" i="3"/>
  <c r="AW13" i="3"/>
  <c r="AW10" i="3"/>
  <c r="AW7" i="3"/>
  <c r="AL25" i="2"/>
  <c r="AL34" i="2" s="1"/>
  <c r="AO17" i="2"/>
  <c r="AN17" i="2"/>
  <c r="AM17" i="2"/>
  <c r="AL17" i="2"/>
  <c r="AO9" i="2"/>
  <c r="AN9" i="2"/>
  <c r="AM9" i="2"/>
  <c r="AL9" i="2"/>
  <c r="AS47" i="1"/>
  <c r="AW45" i="1"/>
  <c r="AW44" i="1"/>
  <c r="AS42" i="1"/>
  <c r="AW20" i="1"/>
  <c r="AW18" i="1"/>
  <c r="AW17" i="1"/>
  <c r="AW15" i="1"/>
  <c r="AW13" i="1"/>
  <c r="AW12" i="1"/>
  <c r="AW10" i="1"/>
  <c r="AW9" i="1"/>
  <c r="AW8" i="1"/>
  <c r="AT11" i="1"/>
  <c r="AT14" i="1" s="1"/>
  <c r="AT16" i="1" s="1"/>
  <c r="AT19" i="1" s="1"/>
  <c r="AU11" i="3"/>
  <c r="AT11" i="3"/>
  <c r="AV11" i="3"/>
  <c r="AS11" i="3"/>
  <c r="AP42" i="1"/>
  <c r="AP47" i="1"/>
  <c r="AP42" i="4"/>
  <c r="AP40" i="4"/>
  <c r="AP41" i="4"/>
  <c r="AP7" i="3"/>
  <c r="AO42" i="1"/>
  <c r="AN42" i="1"/>
  <c r="AM42" i="1"/>
  <c r="AO7" i="3"/>
  <c r="AN7" i="3"/>
  <c r="AM7" i="3"/>
  <c r="AM47" i="1"/>
  <c r="AN47" i="1"/>
  <c r="AO47" i="1"/>
  <c r="AO80" i="4"/>
  <c r="AO42" i="4"/>
  <c r="AO41" i="4"/>
  <c r="AO40" i="4"/>
  <c r="AN80" i="4"/>
  <c r="AN42" i="4"/>
  <c r="AN41" i="4"/>
  <c r="AN40" i="4"/>
  <c r="AH9" i="2"/>
  <c r="AM80" i="4"/>
  <c r="AM42" i="4"/>
  <c r="AM41" i="4"/>
  <c r="AM40" i="4"/>
  <c r="AJ7" i="6"/>
  <c r="AI7" i="6"/>
  <c r="AH7" i="6"/>
  <c r="AG7" i="6"/>
  <c r="AP78" i="4"/>
  <c r="AP32" i="1" s="1"/>
  <c r="AO78" i="4"/>
  <c r="AO32" i="1" s="1"/>
  <c r="AN78" i="4"/>
  <c r="AN32" i="1" s="1"/>
  <c r="AM78" i="4"/>
  <c r="AM32" i="1" s="1"/>
  <c r="AP68" i="4"/>
  <c r="AO68" i="4"/>
  <c r="AN68" i="4"/>
  <c r="AM68" i="4"/>
  <c r="AQ67" i="4"/>
  <c r="AQ66" i="4"/>
  <c r="AQ65" i="4"/>
  <c r="AQ64" i="4"/>
  <c r="AQ63" i="4"/>
  <c r="AQ62" i="4"/>
  <c r="AP81" i="4" s="1"/>
  <c r="AQ61" i="4"/>
  <c r="AP80" i="4" s="1"/>
  <c r="AP38" i="4"/>
  <c r="AO38" i="4"/>
  <c r="AN38" i="4"/>
  <c r="AM38" i="4"/>
  <c r="AQ37" i="4"/>
  <c r="AQ36" i="4"/>
  <c r="AQ35" i="4"/>
  <c r="AQ34" i="4"/>
  <c r="AQ33" i="4"/>
  <c r="AQ32" i="4"/>
  <c r="AQ31" i="4"/>
  <c r="AQ15" i="4"/>
  <c r="AQ26" i="4" s="1"/>
  <c r="AP13" i="4"/>
  <c r="AO13" i="4"/>
  <c r="AN13" i="4"/>
  <c r="AN16" i="4" s="1"/>
  <c r="AM13" i="4"/>
  <c r="AM16" i="4" s="1"/>
  <c r="AQ12" i="4"/>
  <c r="AQ11" i="4"/>
  <c r="AQ10" i="4"/>
  <c r="AQ28" i="4" s="1"/>
  <c r="AQ9" i="4"/>
  <c r="AQ8" i="4"/>
  <c r="AQ7" i="4"/>
  <c r="AQ6" i="4"/>
  <c r="AP19" i="3"/>
  <c r="AO19" i="3"/>
  <c r="AN19" i="3"/>
  <c r="AM19" i="3"/>
  <c r="AQ18" i="3"/>
  <c r="AQ17" i="3"/>
  <c r="AQ16" i="3"/>
  <c r="AQ15" i="3"/>
  <c r="AQ13" i="3"/>
  <c r="AQ10" i="3"/>
  <c r="AJ25" i="2"/>
  <c r="AJ34" i="2" s="1"/>
  <c r="AI25" i="2"/>
  <c r="AI34" i="2" s="1"/>
  <c r="AH25" i="2"/>
  <c r="AH34" i="2" s="1"/>
  <c r="AG25" i="2"/>
  <c r="AG34" i="2" s="1"/>
  <c r="AJ17" i="2"/>
  <c r="AI17" i="2"/>
  <c r="AH17" i="2"/>
  <c r="AG17" i="2"/>
  <c r="AJ9" i="2"/>
  <c r="AI9" i="2"/>
  <c r="AG9" i="2"/>
  <c r="AQ45" i="1"/>
  <c r="AQ44" i="1"/>
  <c r="AQ20" i="1"/>
  <c r="AQ18" i="1"/>
  <c r="AQ17" i="1"/>
  <c r="AQ15" i="1"/>
  <c r="AQ13" i="1"/>
  <c r="AQ12" i="1"/>
  <c r="AQ10" i="1"/>
  <c r="AQ9" i="1"/>
  <c r="AQ8" i="1"/>
  <c r="AJ42" i="4"/>
  <c r="AJ41" i="4"/>
  <c r="AJ40" i="4"/>
  <c r="AK10" i="3"/>
  <c r="AI80" i="4"/>
  <c r="AI42" i="4"/>
  <c r="AI41" i="4"/>
  <c r="AI40" i="4"/>
  <c r="AK37" i="1"/>
  <c r="AH80" i="4"/>
  <c r="AG80" i="4"/>
  <c r="AH46" i="1"/>
  <c r="AH42" i="4"/>
  <c r="AH41" i="4"/>
  <c r="AH40" i="4"/>
  <c r="AJ19" i="3"/>
  <c r="AI19" i="3"/>
  <c r="AH19" i="3"/>
  <c r="AG19" i="3"/>
  <c r="AK18" i="3"/>
  <c r="AK17" i="3"/>
  <c r="AK16" i="3"/>
  <c r="AK15" i="3"/>
  <c r="AK13" i="3"/>
  <c r="AJ11" i="3"/>
  <c r="AH11" i="3"/>
  <c r="AH21" i="3" s="1"/>
  <c r="AG11" i="3"/>
  <c r="AK7" i="3"/>
  <c r="AK6" i="3"/>
  <c r="AE25" i="2"/>
  <c r="AE34" i="2" s="1"/>
  <c r="AD25" i="2"/>
  <c r="AD34" i="2" s="1"/>
  <c r="AC25" i="2"/>
  <c r="AC34" i="2" s="1"/>
  <c r="AB25" i="2"/>
  <c r="AB34" i="2" s="1"/>
  <c r="AE17" i="2"/>
  <c r="AD17" i="2"/>
  <c r="AC17" i="2"/>
  <c r="AB17" i="2"/>
  <c r="AE9" i="2"/>
  <c r="AD9" i="2"/>
  <c r="AC9" i="2"/>
  <c r="AB9" i="2"/>
  <c r="AK45" i="1"/>
  <c r="AK44" i="1"/>
  <c r="AE44" i="1"/>
  <c r="AE7" i="6"/>
  <c r="AD7" i="6"/>
  <c r="AC7" i="6"/>
  <c r="AB7" i="6"/>
  <c r="AJ78" i="4"/>
  <c r="AI78" i="4"/>
  <c r="AH78" i="4"/>
  <c r="AG78" i="4"/>
  <c r="AJ68" i="4"/>
  <c r="AI68" i="4"/>
  <c r="AH68" i="4"/>
  <c r="AG68" i="4"/>
  <c r="AK67" i="4"/>
  <c r="AK66" i="4"/>
  <c r="AK65" i="4"/>
  <c r="AK64" i="4"/>
  <c r="AK63" i="4"/>
  <c r="AK62" i="4"/>
  <c r="AJ81" i="4" s="1"/>
  <c r="AK61" i="4"/>
  <c r="AJ80" i="4" s="1"/>
  <c r="AG42" i="4"/>
  <c r="AG41" i="4"/>
  <c r="AG40" i="4"/>
  <c r="AJ38" i="4"/>
  <c r="AI38" i="4"/>
  <c r="AH38" i="4"/>
  <c r="AG38" i="4"/>
  <c r="AK37" i="4"/>
  <c r="AK36" i="4"/>
  <c r="AK35" i="4"/>
  <c r="AK34" i="4"/>
  <c r="AK33" i="4"/>
  <c r="AK32" i="4"/>
  <c r="AK31" i="4"/>
  <c r="AK15" i="4"/>
  <c r="AJ13" i="4"/>
  <c r="AJ16" i="4" s="1"/>
  <c r="AI13" i="4"/>
  <c r="AI16" i="4" s="1"/>
  <c r="AH13" i="4"/>
  <c r="AH16" i="4" s="1"/>
  <c r="AG13" i="4"/>
  <c r="AK12" i="4"/>
  <c r="AK11" i="4"/>
  <c r="AK10" i="4"/>
  <c r="AK9" i="4"/>
  <c r="AK8" i="4"/>
  <c r="AK7" i="4"/>
  <c r="AK6" i="4"/>
  <c r="AK36" i="1"/>
  <c r="AK20" i="1"/>
  <c r="AK18" i="1"/>
  <c r="AK17" i="1"/>
  <c r="AK15" i="1"/>
  <c r="AK13" i="1"/>
  <c r="AK12" i="1"/>
  <c r="AJ11" i="1"/>
  <c r="AJ14" i="1" s="1"/>
  <c r="AJ16" i="1" s="1"/>
  <c r="AJ19" i="1" s="1"/>
  <c r="AJ21" i="1" s="1"/>
  <c r="AI11" i="1"/>
  <c r="AI14" i="1" s="1"/>
  <c r="AI16" i="1" s="1"/>
  <c r="AI19" i="1" s="1"/>
  <c r="AI21" i="1" s="1"/>
  <c r="AH11" i="1"/>
  <c r="AH14" i="1" s="1"/>
  <c r="AH16" i="1" s="1"/>
  <c r="AH19" i="1" s="1"/>
  <c r="AH21" i="1" s="1"/>
  <c r="AG11" i="1"/>
  <c r="AG14" i="1" s="1"/>
  <c r="AG16" i="1" s="1"/>
  <c r="AG19" i="1" s="1"/>
  <c r="AG21" i="1" s="1"/>
  <c r="AK10" i="1"/>
  <c r="AK9" i="1"/>
  <c r="AK8" i="1"/>
  <c r="AK7" i="1"/>
  <c r="AK5" i="1"/>
  <c r="AD42" i="1"/>
  <c r="AE6" i="3"/>
  <c r="AE37" i="1"/>
  <c r="AA68" i="4"/>
  <c r="AB78" i="4"/>
  <c r="AC42" i="4"/>
  <c r="AC41" i="4"/>
  <c r="AC40" i="4"/>
  <c r="AE12" i="4"/>
  <c r="A5" i="6"/>
  <c r="C7" i="6"/>
  <c r="D7" i="6"/>
  <c r="E7" i="6"/>
  <c r="F7" i="6"/>
  <c r="H7" i="6"/>
  <c r="I7" i="6"/>
  <c r="J7" i="6"/>
  <c r="K7" i="6"/>
  <c r="M7" i="6"/>
  <c r="N7" i="6"/>
  <c r="O7" i="6"/>
  <c r="P7" i="6"/>
  <c r="R7" i="6"/>
  <c r="S7" i="6"/>
  <c r="T7" i="6"/>
  <c r="U7" i="6"/>
  <c r="W7" i="6"/>
  <c r="X7" i="6"/>
  <c r="Y7" i="6"/>
  <c r="Z7" i="6"/>
  <c r="A9" i="6"/>
  <c r="C9" i="6"/>
  <c r="D9" i="6"/>
  <c r="E9" i="6"/>
  <c r="F9" i="6"/>
  <c r="H9" i="6"/>
  <c r="C14" i="6"/>
  <c r="H14" i="6"/>
  <c r="J81" i="4"/>
  <c r="K81" i="4"/>
  <c r="H27" i="6"/>
  <c r="I27" i="6"/>
  <c r="J27" i="6"/>
  <c r="G6" i="4"/>
  <c r="M6" i="4"/>
  <c r="S6" i="4"/>
  <c r="G7" i="4"/>
  <c r="M7" i="4"/>
  <c r="S7" i="4"/>
  <c r="G8" i="4"/>
  <c r="M8" i="4"/>
  <c r="S8" i="4"/>
  <c r="Y8" i="4"/>
  <c r="AE8" i="4"/>
  <c r="G9" i="4"/>
  <c r="M9" i="4"/>
  <c r="S9" i="4"/>
  <c r="Y9" i="4"/>
  <c r="AE9" i="4"/>
  <c r="G10" i="4"/>
  <c r="M10" i="4"/>
  <c r="S10" i="4"/>
  <c r="Y10" i="4"/>
  <c r="G11" i="4"/>
  <c r="M11" i="4"/>
  <c r="S11" i="4"/>
  <c r="Y11" i="4"/>
  <c r="AE11" i="4"/>
  <c r="G12" i="4"/>
  <c r="M12" i="4"/>
  <c r="S12" i="4"/>
  <c r="Y12" i="4"/>
  <c r="C13" i="4"/>
  <c r="D13" i="4"/>
  <c r="D16" i="4" s="1"/>
  <c r="D24" i="1" s="1"/>
  <c r="E13" i="4"/>
  <c r="E16" i="4" s="1"/>
  <c r="E24" i="1" s="1"/>
  <c r="F13" i="4"/>
  <c r="I13" i="4"/>
  <c r="J13" i="4"/>
  <c r="J5" i="1" s="1"/>
  <c r="M5" i="1" s="1"/>
  <c r="K13" i="4"/>
  <c r="L13" i="4"/>
  <c r="O13" i="4"/>
  <c r="P13" i="4"/>
  <c r="P16" i="4" s="1"/>
  <c r="Q13" i="4"/>
  <c r="Q16" i="4" s="1"/>
  <c r="R13" i="4"/>
  <c r="R16" i="4" s="1"/>
  <c r="U13" i="4"/>
  <c r="V13" i="4"/>
  <c r="V16" i="4" s="1"/>
  <c r="V24" i="1" s="1"/>
  <c r="W13" i="4"/>
  <c r="W16" i="4" s="1"/>
  <c r="W24" i="1" s="1"/>
  <c r="AA13" i="4"/>
  <c r="AA16" i="4" s="1"/>
  <c r="AB13" i="4"/>
  <c r="AB16" i="4" s="1"/>
  <c r="AC13" i="4"/>
  <c r="AC16" i="4" s="1"/>
  <c r="D41" i="4"/>
  <c r="F41" i="4"/>
  <c r="I41" i="4"/>
  <c r="L41" i="4"/>
  <c r="Q41" i="4"/>
  <c r="R41" i="4"/>
  <c r="Y15" i="4"/>
  <c r="AE15" i="4"/>
  <c r="G31" i="4"/>
  <c r="M31" i="4"/>
  <c r="S31" i="4"/>
  <c r="S40" i="4" s="1"/>
  <c r="Y31" i="4"/>
  <c r="AE31" i="4"/>
  <c r="G32" i="4"/>
  <c r="M32" i="4"/>
  <c r="S32" i="4"/>
  <c r="Y32" i="4"/>
  <c r="AE32" i="4"/>
  <c r="G33" i="4"/>
  <c r="M33" i="4"/>
  <c r="S33" i="4"/>
  <c r="Y33" i="4"/>
  <c r="AE33" i="4"/>
  <c r="G34" i="4"/>
  <c r="M34" i="4"/>
  <c r="S34" i="4"/>
  <c r="Y34" i="4"/>
  <c r="AE34" i="4"/>
  <c r="G35" i="4"/>
  <c r="M35" i="4"/>
  <c r="K27" i="6" s="1"/>
  <c r="S35" i="4"/>
  <c r="Y35" i="4"/>
  <c r="AE35" i="4"/>
  <c r="G36" i="4"/>
  <c r="M36" i="4"/>
  <c r="S36" i="4"/>
  <c r="Y36" i="4"/>
  <c r="AE36" i="4"/>
  <c r="G37" i="4"/>
  <c r="M37" i="4"/>
  <c r="S37" i="4"/>
  <c r="Y37" i="4"/>
  <c r="AE37" i="4"/>
  <c r="C38" i="4"/>
  <c r="D38" i="4"/>
  <c r="E38" i="4"/>
  <c r="F38" i="4"/>
  <c r="I38" i="4"/>
  <c r="J38" i="4"/>
  <c r="K38" i="4"/>
  <c r="L38" i="4"/>
  <c r="O38" i="4"/>
  <c r="P38" i="4"/>
  <c r="Q38" i="4"/>
  <c r="R38" i="4"/>
  <c r="U38" i="4"/>
  <c r="S24" i="6" s="1"/>
  <c r="V38" i="4"/>
  <c r="W38" i="4"/>
  <c r="X38" i="4"/>
  <c r="AA38" i="4"/>
  <c r="AB38" i="4"/>
  <c r="AC38" i="4"/>
  <c r="AD38" i="4"/>
  <c r="C40" i="4"/>
  <c r="D40" i="4"/>
  <c r="E40" i="4"/>
  <c r="F40" i="4"/>
  <c r="I40" i="4"/>
  <c r="J40" i="4"/>
  <c r="K40" i="4"/>
  <c r="L40" i="4"/>
  <c r="O40" i="4"/>
  <c r="P40" i="4"/>
  <c r="Q40" i="4"/>
  <c r="R40" i="4"/>
  <c r="U40" i="4"/>
  <c r="V40" i="4"/>
  <c r="W40" i="4"/>
  <c r="AA40" i="4"/>
  <c r="AB40" i="4"/>
  <c r="O41" i="4"/>
  <c r="U41" i="4"/>
  <c r="V41" i="4"/>
  <c r="W41" i="4"/>
  <c r="X41" i="4"/>
  <c r="AA41" i="4"/>
  <c r="AB41" i="4"/>
  <c r="C42" i="4"/>
  <c r="D42" i="4"/>
  <c r="E42" i="4"/>
  <c r="F42" i="4"/>
  <c r="I42" i="4"/>
  <c r="J42" i="4"/>
  <c r="K42" i="4"/>
  <c r="L42" i="4"/>
  <c r="O42" i="4"/>
  <c r="P42" i="4"/>
  <c r="Q42" i="4"/>
  <c r="R42" i="4"/>
  <c r="U42" i="4"/>
  <c r="V42" i="4"/>
  <c r="W42" i="4"/>
  <c r="AA42" i="4"/>
  <c r="AB42" i="4"/>
  <c r="G61" i="4"/>
  <c r="M61" i="4"/>
  <c r="L80" i="4" s="1"/>
  <c r="S61" i="4"/>
  <c r="R80" i="4" s="1"/>
  <c r="Y61" i="4"/>
  <c r="X80" i="4" s="1"/>
  <c r="AE61" i="4"/>
  <c r="AD80" i="4" s="1"/>
  <c r="G62" i="4"/>
  <c r="M62" i="4"/>
  <c r="L81" i="4" s="1"/>
  <c r="S62" i="4"/>
  <c r="R81" i="4" s="1"/>
  <c r="Y62" i="4"/>
  <c r="X81" i="4" s="1"/>
  <c r="AE62" i="4"/>
  <c r="AD81" i="4" s="1"/>
  <c r="G63" i="4"/>
  <c r="M63" i="4"/>
  <c r="S63" i="4"/>
  <c r="Y63" i="4"/>
  <c r="AE63" i="4"/>
  <c r="G64" i="4"/>
  <c r="M64" i="4"/>
  <c r="S64" i="4"/>
  <c r="Y64" i="4"/>
  <c r="AE64" i="4"/>
  <c r="G65" i="4"/>
  <c r="M65" i="4"/>
  <c r="S65" i="4"/>
  <c r="Y65" i="4"/>
  <c r="AE65" i="4"/>
  <c r="G66" i="4"/>
  <c r="M66" i="4"/>
  <c r="S66" i="4"/>
  <c r="Y66" i="4"/>
  <c r="AE66" i="4"/>
  <c r="G67" i="4"/>
  <c r="M67" i="4"/>
  <c r="S67" i="4"/>
  <c r="Y67" i="4"/>
  <c r="AE67" i="4"/>
  <c r="C68" i="4"/>
  <c r="D68" i="4"/>
  <c r="E68" i="4"/>
  <c r="F68" i="4"/>
  <c r="I68" i="4"/>
  <c r="J68" i="4"/>
  <c r="K68" i="4"/>
  <c r="L68" i="4"/>
  <c r="O68" i="4"/>
  <c r="P68" i="4"/>
  <c r="Q68" i="4"/>
  <c r="R68" i="4"/>
  <c r="U68" i="4"/>
  <c r="V68" i="4"/>
  <c r="W68" i="4"/>
  <c r="X68" i="4"/>
  <c r="AB68" i="4"/>
  <c r="AC68" i="4"/>
  <c r="AD68" i="4"/>
  <c r="C78" i="4"/>
  <c r="D78" i="4"/>
  <c r="E78" i="4"/>
  <c r="F78" i="4"/>
  <c r="I78" i="4"/>
  <c r="J78" i="4"/>
  <c r="K78" i="4"/>
  <c r="L78" i="4"/>
  <c r="O78" i="4"/>
  <c r="P78" i="4"/>
  <c r="Q78" i="4"/>
  <c r="R78" i="4"/>
  <c r="U78" i="4"/>
  <c r="V78" i="4"/>
  <c r="W78" i="4"/>
  <c r="X78" i="4"/>
  <c r="AA78" i="4"/>
  <c r="AC78" i="4"/>
  <c r="AD78" i="4"/>
  <c r="I80" i="4"/>
  <c r="J80" i="4"/>
  <c r="K80" i="4"/>
  <c r="O80" i="4"/>
  <c r="P80" i="4"/>
  <c r="Q80" i="4"/>
  <c r="U80" i="4"/>
  <c r="V80" i="4"/>
  <c r="I81" i="4"/>
  <c r="O81" i="4"/>
  <c r="P81" i="4"/>
  <c r="Q81" i="4"/>
  <c r="U81" i="4"/>
  <c r="V81" i="4"/>
  <c r="G6" i="3"/>
  <c r="M6" i="3"/>
  <c r="S6" i="3"/>
  <c r="Y6" i="3"/>
  <c r="G7" i="3"/>
  <c r="M7" i="3"/>
  <c r="S7" i="3"/>
  <c r="Y7" i="3"/>
  <c r="AE7" i="3"/>
  <c r="G10" i="3"/>
  <c r="M10" i="3"/>
  <c r="S10" i="3"/>
  <c r="Y10" i="3"/>
  <c r="AE10" i="3"/>
  <c r="C11" i="3"/>
  <c r="D11" i="3"/>
  <c r="E11" i="3"/>
  <c r="F11" i="3"/>
  <c r="I11" i="3"/>
  <c r="J11" i="3"/>
  <c r="K11" i="3"/>
  <c r="L11" i="3"/>
  <c r="O11" i="3"/>
  <c r="P11" i="3"/>
  <c r="Q11" i="3"/>
  <c r="R11" i="3"/>
  <c r="U11" i="3"/>
  <c r="V11" i="3"/>
  <c r="W11" i="3"/>
  <c r="X11" i="3"/>
  <c r="AA11" i="3"/>
  <c r="AB11" i="3"/>
  <c r="AC11" i="3"/>
  <c r="G13" i="3"/>
  <c r="M13" i="3"/>
  <c r="S13" i="3"/>
  <c r="Y13" i="3"/>
  <c r="AE13" i="3"/>
  <c r="G15" i="3"/>
  <c r="M15" i="3"/>
  <c r="S15" i="3"/>
  <c r="Y15" i="3"/>
  <c r="AE15" i="3"/>
  <c r="G16" i="3"/>
  <c r="M16" i="3"/>
  <c r="S16" i="3"/>
  <c r="Y16" i="3"/>
  <c r="AE16" i="3"/>
  <c r="S17" i="3"/>
  <c r="Y17" i="3"/>
  <c r="AE17" i="3"/>
  <c r="G18" i="3"/>
  <c r="M18" i="3"/>
  <c r="S18" i="3"/>
  <c r="Y18" i="3"/>
  <c r="AE18" i="3"/>
  <c r="D19" i="3"/>
  <c r="E19" i="3"/>
  <c r="F19" i="3"/>
  <c r="I19" i="3"/>
  <c r="J19" i="3"/>
  <c r="K19" i="3"/>
  <c r="L19" i="3"/>
  <c r="O19" i="3"/>
  <c r="P19" i="3"/>
  <c r="Q19" i="3"/>
  <c r="R19" i="3"/>
  <c r="U19" i="3"/>
  <c r="V19" i="3"/>
  <c r="X19" i="3"/>
  <c r="X21" i="3" s="1"/>
  <c r="AA19" i="3"/>
  <c r="AA21" i="3" s="1"/>
  <c r="AB19" i="3"/>
  <c r="AC19" i="3"/>
  <c r="AD19" i="3"/>
  <c r="C9" i="2"/>
  <c r="D9" i="2"/>
  <c r="E9" i="2"/>
  <c r="F9" i="2"/>
  <c r="H9" i="2"/>
  <c r="I9" i="2"/>
  <c r="J9" i="2"/>
  <c r="K9" i="2"/>
  <c r="M9" i="2"/>
  <c r="N9" i="2"/>
  <c r="O9" i="2"/>
  <c r="P9" i="2"/>
  <c r="R9" i="2"/>
  <c r="S9" i="2"/>
  <c r="T9" i="2"/>
  <c r="U9" i="2"/>
  <c r="W9" i="2"/>
  <c r="X9" i="2"/>
  <c r="Y9" i="2"/>
  <c r="Z9" i="2"/>
  <c r="C17" i="2"/>
  <c r="D17" i="2"/>
  <c r="E17" i="2"/>
  <c r="F17" i="2"/>
  <c r="H17" i="2"/>
  <c r="I17" i="2"/>
  <c r="J17" i="2"/>
  <c r="K17" i="2"/>
  <c r="M17" i="2"/>
  <c r="N17" i="2"/>
  <c r="O17" i="2"/>
  <c r="P17" i="2"/>
  <c r="R17" i="2"/>
  <c r="S17" i="2"/>
  <c r="T17" i="2"/>
  <c r="U17" i="2"/>
  <c r="W17" i="2"/>
  <c r="X17" i="2"/>
  <c r="Y17" i="2"/>
  <c r="Z17" i="2"/>
  <c r="C25" i="2"/>
  <c r="C34" i="2" s="1"/>
  <c r="D25" i="2"/>
  <c r="D34" i="2" s="1"/>
  <c r="E25" i="2"/>
  <c r="E34" i="2" s="1"/>
  <c r="F25" i="2"/>
  <c r="F34" i="2" s="1"/>
  <c r="H25" i="2"/>
  <c r="H34" i="2" s="1"/>
  <c r="I25" i="2"/>
  <c r="I34" i="2" s="1"/>
  <c r="J25" i="2"/>
  <c r="J34" i="2" s="1"/>
  <c r="K25" i="2"/>
  <c r="K34" i="2" s="1"/>
  <c r="M25" i="2"/>
  <c r="M34" i="2" s="1"/>
  <c r="N25" i="2"/>
  <c r="N34" i="2" s="1"/>
  <c r="O25" i="2"/>
  <c r="O34" i="2" s="1"/>
  <c r="P25" i="2"/>
  <c r="R25" i="2"/>
  <c r="R34" i="2" s="1"/>
  <c r="S25" i="2"/>
  <c r="S34" i="2" s="1"/>
  <c r="T25" i="2"/>
  <c r="U25" i="2"/>
  <c r="U34" i="2" s="1"/>
  <c r="W25" i="2"/>
  <c r="W34" i="2" s="1"/>
  <c r="X25" i="2"/>
  <c r="Y25" i="2"/>
  <c r="Y34" i="2" s="1"/>
  <c r="Z25" i="2"/>
  <c r="Z34" i="2" s="1"/>
  <c r="G5" i="1"/>
  <c r="S5" i="1"/>
  <c r="Y5" i="1"/>
  <c r="AE5" i="1"/>
  <c r="G7" i="1"/>
  <c r="M7" i="1"/>
  <c r="S7" i="1"/>
  <c r="Y7" i="1"/>
  <c r="AE7" i="1"/>
  <c r="G8" i="1"/>
  <c r="M8" i="1"/>
  <c r="S8" i="1"/>
  <c r="Y8" i="1"/>
  <c r="AE8" i="1"/>
  <c r="G9" i="1"/>
  <c r="M9" i="1"/>
  <c r="S9" i="1"/>
  <c r="Y9" i="1"/>
  <c r="AE9" i="1"/>
  <c r="G10" i="1"/>
  <c r="M10" i="1"/>
  <c r="S10" i="1"/>
  <c r="Y10" i="1"/>
  <c r="AE10" i="1"/>
  <c r="C11" i="1"/>
  <c r="C14" i="1" s="1"/>
  <c r="C16" i="1" s="1"/>
  <c r="C19" i="1" s="1"/>
  <c r="C21" i="1" s="1"/>
  <c r="D11" i="1"/>
  <c r="D14" i="1" s="1"/>
  <c r="D16" i="1" s="1"/>
  <c r="D19" i="1" s="1"/>
  <c r="D21" i="1" s="1"/>
  <c r="E11" i="1"/>
  <c r="E14" i="1" s="1"/>
  <c r="E16" i="1" s="1"/>
  <c r="E19" i="1" s="1"/>
  <c r="E21" i="1" s="1"/>
  <c r="F11" i="1"/>
  <c r="F14" i="1" s="1"/>
  <c r="F16" i="1" s="1"/>
  <c r="F19" i="1" s="1"/>
  <c r="F21" i="1" s="1"/>
  <c r="I11" i="1"/>
  <c r="I14" i="1" s="1"/>
  <c r="I16" i="1" s="1"/>
  <c r="I19" i="1" s="1"/>
  <c r="I21" i="1" s="1"/>
  <c r="J11" i="1"/>
  <c r="J14" i="1" s="1"/>
  <c r="J16" i="1" s="1"/>
  <c r="J19" i="1" s="1"/>
  <c r="J21" i="1" s="1"/>
  <c r="K11" i="1"/>
  <c r="K14" i="1" s="1"/>
  <c r="K16" i="1" s="1"/>
  <c r="K19" i="1" s="1"/>
  <c r="K21" i="1" s="1"/>
  <c r="L11" i="1"/>
  <c r="L14" i="1" s="1"/>
  <c r="L16" i="1" s="1"/>
  <c r="L19" i="1" s="1"/>
  <c r="L21" i="1" s="1"/>
  <c r="O11" i="1"/>
  <c r="O14" i="1" s="1"/>
  <c r="O16" i="1" s="1"/>
  <c r="O19" i="1" s="1"/>
  <c r="O21" i="1" s="1"/>
  <c r="P11" i="1"/>
  <c r="P14" i="1" s="1"/>
  <c r="P16" i="1" s="1"/>
  <c r="P19" i="1" s="1"/>
  <c r="P21" i="1" s="1"/>
  <c r="Q11" i="1"/>
  <c r="Q14" i="1" s="1"/>
  <c r="Q16" i="1" s="1"/>
  <c r="Q19" i="1" s="1"/>
  <c r="Q21" i="1" s="1"/>
  <c r="R11" i="1"/>
  <c r="R14" i="1" s="1"/>
  <c r="R16" i="1" s="1"/>
  <c r="R19" i="1" s="1"/>
  <c r="R21" i="1" s="1"/>
  <c r="U11" i="1"/>
  <c r="U14" i="1" s="1"/>
  <c r="U16" i="1" s="1"/>
  <c r="U19" i="1" s="1"/>
  <c r="U21" i="1" s="1"/>
  <c r="V11" i="1"/>
  <c r="V14" i="1" s="1"/>
  <c r="V16" i="1" s="1"/>
  <c r="V19" i="1" s="1"/>
  <c r="V21" i="1" s="1"/>
  <c r="W11" i="1"/>
  <c r="W14" i="1" s="1"/>
  <c r="W16" i="1" s="1"/>
  <c r="W19" i="1" s="1"/>
  <c r="W21" i="1" s="1"/>
  <c r="X11" i="1"/>
  <c r="X14" i="1" s="1"/>
  <c r="X16" i="1" s="1"/>
  <c r="X19" i="1" s="1"/>
  <c r="X21" i="1" s="1"/>
  <c r="AA11" i="1"/>
  <c r="AA14" i="1" s="1"/>
  <c r="AA16" i="1" s="1"/>
  <c r="AA19" i="1" s="1"/>
  <c r="AA21" i="1" s="1"/>
  <c r="AB11" i="1"/>
  <c r="AB14" i="1" s="1"/>
  <c r="AB16" i="1" s="1"/>
  <c r="AB19" i="1" s="1"/>
  <c r="AB21" i="1" s="1"/>
  <c r="AC11" i="1"/>
  <c r="AC14" i="1" s="1"/>
  <c r="AC16" i="1" s="1"/>
  <c r="AC19" i="1" s="1"/>
  <c r="AC21" i="1" s="1"/>
  <c r="AD11" i="1"/>
  <c r="AD14" i="1" s="1"/>
  <c r="AD16" i="1" s="1"/>
  <c r="AD19" i="1" s="1"/>
  <c r="AD21" i="1" s="1"/>
  <c r="G12" i="1"/>
  <c r="M12" i="1"/>
  <c r="S12" i="1"/>
  <c r="Y12" i="1"/>
  <c r="AE12" i="1"/>
  <c r="G13" i="1"/>
  <c r="M13" i="1"/>
  <c r="S13" i="1"/>
  <c r="Y13" i="1"/>
  <c r="AE13" i="1"/>
  <c r="G15" i="1"/>
  <c r="M15" i="1"/>
  <c r="S15" i="1"/>
  <c r="Y15" i="1"/>
  <c r="AE15" i="1"/>
  <c r="G17" i="1"/>
  <c r="M17" i="1"/>
  <c r="S17" i="1"/>
  <c r="Y17" i="1"/>
  <c r="AE17" i="1"/>
  <c r="G18" i="1"/>
  <c r="M18" i="1"/>
  <c r="S18" i="1"/>
  <c r="Y18" i="1"/>
  <c r="AE18" i="1"/>
  <c r="G20" i="1"/>
  <c r="M20" i="1"/>
  <c r="S20" i="1"/>
  <c r="Y20" i="1"/>
  <c r="AE20" i="1"/>
  <c r="G36" i="1"/>
  <c r="M36" i="1"/>
  <c r="S36" i="1"/>
  <c r="Y36" i="1"/>
  <c r="G37" i="1"/>
  <c r="M37" i="1"/>
  <c r="S37" i="1"/>
  <c r="Y37" i="1"/>
  <c r="G44" i="1"/>
  <c r="M44" i="1"/>
  <c r="S44" i="1"/>
  <c r="Y44" i="1"/>
  <c r="G45" i="1"/>
  <c r="M45" i="1"/>
  <c r="S45" i="1"/>
  <c r="Y45" i="1"/>
  <c r="AE45" i="1"/>
  <c r="AD41" i="4"/>
  <c r="E24" i="6"/>
  <c r="AD11" i="3"/>
  <c r="AE36" i="1"/>
  <c r="AD42" i="4"/>
  <c r="AE7" i="4"/>
  <c r="AE6" i="4"/>
  <c r="AE40" i="4" s="1"/>
  <c r="AD13" i="4"/>
  <c r="AD40" i="4"/>
  <c r="AE10" i="4"/>
  <c r="AO16" i="4"/>
  <c r="AO25" i="4" s="1"/>
  <c r="P41" i="4"/>
  <c r="E41" i="4"/>
  <c r="K41" i="4"/>
  <c r="AW6" i="3"/>
  <c r="BC31" i="4"/>
  <c r="AY38" i="4"/>
  <c r="AY40" i="4"/>
  <c r="BB38" i="4"/>
  <c r="AX24" i="6" s="1"/>
  <c r="BB41" i="4"/>
  <c r="BC9" i="1"/>
  <c r="BE16" i="4"/>
  <c r="J41" i="4"/>
  <c r="AO11" i="1"/>
  <c r="AO14" i="1" s="1"/>
  <c r="AO16" i="1" s="1"/>
  <c r="AO19" i="1" s="1"/>
  <c r="AI42" i="2" s="1"/>
  <c r="AU11" i="1"/>
  <c r="AU14" i="1" s="1"/>
  <c r="AU16" i="1" s="1"/>
  <c r="AU19" i="1" s="1"/>
  <c r="C19" i="3"/>
  <c r="Y6" i="4"/>
  <c r="X40" i="4"/>
  <c r="AS40" i="4"/>
  <c r="BF11" i="1"/>
  <c r="BF14" i="1" s="1"/>
  <c r="BF16" i="1" s="1"/>
  <c r="BF19" i="1" s="1"/>
  <c r="X42" i="4"/>
  <c r="G40" i="4" l="1"/>
  <c r="BE39" i="4"/>
  <c r="AG21" i="3"/>
  <c r="M40" i="4"/>
  <c r="J16" i="4"/>
  <c r="BM21" i="1"/>
  <c r="AD19" i="2"/>
  <c r="BC41" i="4"/>
  <c r="AO39" i="4"/>
  <c r="BL21" i="1"/>
  <c r="I39" i="4"/>
  <c r="AE19" i="2"/>
  <c r="Y40" i="4"/>
  <c r="Y19" i="2"/>
  <c r="O19" i="2"/>
  <c r="H11" i="6"/>
  <c r="AO79" i="4"/>
  <c r="AO19" i="2"/>
  <c r="E19" i="2"/>
  <c r="AK42" i="4"/>
  <c r="AC19" i="2"/>
  <c r="AQ40" i="4"/>
  <c r="AN39" i="4"/>
  <c r="R19" i="2"/>
  <c r="H19" i="2"/>
  <c r="Y38" i="4"/>
  <c r="U24" i="6" s="1"/>
  <c r="U36" i="6" s="1"/>
  <c r="AK40" i="4"/>
  <c r="Z19" i="2"/>
  <c r="P19" i="2"/>
  <c r="F19" i="2"/>
  <c r="AB21" i="3"/>
  <c r="AQ38" i="4"/>
  <c r="AJ24" i="6" s="1"/>
  <c r="V21" i="3"/>
  <c r="S19" i="2"/>
  <c r="I19" i="2"/>
  <c r="BM79" i="4"/>
  <c r="BC68" i="4"/>
  <c r="S42" i="4"/>
  <c r="AA39" i="4"/>
  <c r="C39" i="4"/>
  <c r="X19" i="2"/>
  <c r="N19" i="2"/>
  <c r="D19" i="2"/>
  <c r="AG39" i="4"/>
  <c r="Q39" i="4"/>
  <c r="W19" i="2"/>
  <c r="M19" i="2"/>
  <c r="C19" i="2"/>
  <c r="AS79" i="4"/>
  <c r="K19" i="2"/>
  <c r="AK11" i="1"/>
  <c r="AK14" i="1" s="1"/>
  <c r="AK16" i="1" s="1"/>
  <c r="AK19" i="1" s="1"/>
  <c r="AK21" i="1" s="1"/>
  <c r="AK19" i="3"/>
  <c r="AI19" i="2"/>
  <c r="AT79" i="4"/>
  <c r="BA79" i="4"/>
  <c r="BH79" i="4"/>
  <c r="U19" i="2"/>
  <c r="AC39" i="4"/>
  <c r="T19" i="2"/>
  <c r="J19" i="2"/>
  <c r="AJ19" i="2"/>
  <c r="BG39" i="4"/>
  <c r="AV39" i="4"/>
  <c r="BB39" i="4"/>
  <c r="AI79" i="4"/>
  <c r="AB79" i="4"/>
  <c r="E39" i="4"/>
  <c r="G42" i="4"/>
  <c r="Y11" i="6"/>
  <c r="Y15" i="6" s="1"/>
  <c r="T11" i="6"/>
  <c r="T15" i="6" s="1"/>
  <c r="O11" i="6"/>
  <c r="O15" i="6" s="1"/>
  <c r="J11" i="6"/>
  <c r="J15" i="6" s="1"/>
  <c r="AN79" i="4"/>
  <c r="AI46" i="1"/>
  <c r="AD11" i="6"/>
  <c r="AG11" i="6"/>
  <c r="AG15" i="6" s="1"/>
  <c r="AM46" i="1"/>
  <c r="AY79" i="4"/>
  <c r="AL11" i="6"/>
  <c r="AL15" i="6" s="1"/>
  <c r="AS11" i="6"/>
  <c r="AS15" i="6" s="1"/>
  <c r="BG79" i="4"/>
  <c r="AW11" i="6"/>
  <c r="AW15" i="6" s="1"/>
  <c r="BD26" i="6"/>
  <c r="BD36" i="6"/>
  <c r="AH79" i="4"/>
  <c r="AA79" i="4"/>
  <c r="X11" i="6"/>
  <c r="X15" i="6" s="1"/>
  <c r="S11" i="6"/>
  <c r="S15" i="6" s="1"/>
  <c r="N11" i="6"/>
  <c r="N15" i="6" s="1"/>
  <c r="I11" i="6"/>
  <c r="I15" i="6" s="1"/>
  <c r="AJ46" i="1"/>
  <c r="AE11" i="6"/>
  <c r="AE15" i="6" s="1"/>
  <c r="AH11" i="6"/>
  <c r="AH15" i="6" s="1"/>
  <c r="AN46" i="1"/>
  <c r="AZ79" i="4"/>
  <c r="AT11" i="6"/>
  <c r="AT15" i="6" s="1"/>
  <c r="BB79" i="4"/>
  <c r="BF79" i="4"/>
  <c r="AX11" i="6"/>
  <c r="AX15" i="6" s="1"/>
  <c r="BK79" i="4"/>
  <c r="AG79" i="4"/>
  <c r="U79" i="4"/>
  <c r="W11" i="6"/>
  <c r="W15" i="6" s="1"/>
  <c r="R11" i="6"/>
  <c r="R15" i="6" s="1"/>
  <c r="M11" i="6"/>
  <c r="M15" i="6" s="1"/>
  <c r="AB11" i="6"/>
  <c r="AB15" i="6" s="1"/>
  <c r="AI11" i="6"/>
  <c r="AI15" i="6" s="1"/>
  <c r="AO46" i="1"/>
  <c r="BE79" i="4"/>
  <c r="AY11" i="6"/>
  <c r="AY15" i="6" s="1"/>
  <c r="BL79" i="4"/>
  <c r="BG26" i="6"/>
  <c r="AC79" i="4"/>
  <c r="W79" i="4"/>
  <c r="Z11" i="6"/>
  <c r="Z15" i="6" s="1"/>
  <c r="U11" i="6"/>
  <c r="U15" i="6" s="1"/>
  <c r="P11" i="6"/>
  <c r="P15" i="6" s="1"/>
  <c r="K11" i="6"/>
  <c r="K15" i="6" s="1"/>
  <c r="AM79" i="4"/>
  <c r="AC11" i="6"/>
  <c r="AC15" i="6" s="1"/>
  <c r="AU79" i="4"/>
  <c r="AJ11" i="6"/>
  <c r="AJ15" i="6" s="1"/>
  <c r="AP46" i="1"/>
  <c r="AV79" i="4"/>
  <c r="AR11" i="6"/>
  <c r="AR15" i="6" s="1"/>
  <c r="AV11" i="6"/>
  <c r="AV15" i="6" s="1"/>
  <c r="BF36" i="6"/>
  <c r="BF26" i="6"/>
  <c r="AG19" i="2"/>
  <c r="AH19" i="2"/>
  <c r="AZ39" i="4"/>
  <c r="AZ16" i="4"/>
  <c r="AZ25" i="4" s="1"/>
  <c r="AJ39" i="4"/>
  <c r="AD16" i="4"/>
  <c r="AE16" i="4" s="1"/>
  <c r="V39" i="4"/>
  <c r="H17" i="6"/>
  <c r="H24" i="6" s="1"/>
  <c r="H26" i="6" s="1"/>
  <c r="BF21" i="3"/>
  <c r="BG21" i="3"/>
  <c r="BB21" i="3"/>
  <c r="AZ21" i="3"/>
  <c r="AW11" i="3"/>
  <c r="J21" i="3"/>
  <c r="M11" i="3"/>
  <c r="AU21" i="3"/>
  <c r="AQ19" i="2"/>
  <c r="AR19" i="2"/>
  <c r="T34" i="2"/>
  <c r="AB19" i="2"/>
  <c r="AL19" i="2"/>
  <c r="AN19" i="2"/>
  <c r="AS19" i="2"/>
  <c r="AT19" i="2"/>
  <c r="AM19" i="2"/>
  <c r="AX19" i="2"/>
  <c r="Y11" i="1"/>
  <c r="Y14" i="1" s="1"/>
  <c r="Y16" i="1" s="1"/>
  <c r="Y19" i="1" s="1"/>
  <c r="Y21" i="1" s="1"/>
  <c r="S11" i="1"/>
  <c r="S14" i="1" s="1"/>
  <c r="S16" i="1" s="1"/>
  <c r="S19" i="1" s="1"/>
  <c r="S21" i="1" s="1"/>
  <c r="N24" i="6"/>
  <c r="N36" i="6" s="1"/>
  <c r="AT39" i="4"/>
  <c r="BI13" i="4"/>
  <c r="BF39" i="4"/>
  <c r="BC17" i="6"/>
  <c r="BC24" i="6" s="1"/>
  <c r="BC36" i="6" s="1"/>
  <c r="M13" i="4"/>
  <c r="BB17" i="6"/>
  <c r="BB24" i="6" s="1"/>
  <c r="BM25" i="4"/>
  <c r="F11" i="6"/>
  <c r="F15" i="6" s="1"/>
  <c r="D11" i="6"/>
  <c r="D15" i="6" s="1"/>
  <c r="E11" i="6"/>
  <c r="E15" i="6" s="1"/>
  <c r="C11" i="6"/>
  <c r="C15" i="6" s="1"/>
  <c r="G11" i="1"/>
  <c r="G14" i="1" s="1"/>
  <c r="G16" i="1" s="1"/>
  <c r="G19" i="1" s="1"/>
  <c r="G21" i="1" s="1"/>
  <c r="O79" i="4"/>
  <c r="AC24" i="6"/>
  <c r="AC36" i="6" s="1"/>
  <c r="Y24" i="6"/>
  <c r="Y36" i="6" s="1"/>
  <c r="R24" i="6"/>
  <c r="R26" i="6" s="1"/>
  <c r="D24" i="6"/>
  <c r="D26" i="6" s="1"/>
  <c r="D28" i="6" s="1"/>
  <c r="U16" i="4"/>
  <c r="U24" i="1" s="1"/>
  <c r="S15" i="4"/>
  <c r="S41" i="4" s="1"/>
  <c r="C16" i="4"/>
  <c r="C24" i="1" s="1"/>
  <c r="L39" i="4"/>
  <c r="X13" i="4"/>
  <c r="X16" i="4" s="1"/>
  <c r="AG24" i="6"/>
  <c r="AG36" i="6" s="1"/>
  <c r="AW42" i="4"/>
  <c r="AW41" i="4"/>
  <c r="BI38" i="4"/>
  <c r="BI39" i="4" s="1"/>
  <c r="Q79" i="4"/>
  <c r="I79" i="4"/>
  <c r="AE42" i="4"/>
  <c r="W39" i="4"/>
  <c r="K39" i="4"/>
  <c r="AQ13" i="4"/>
  <c r="AQ68" i="4"/>
  <c r="AP79" i="4" s="1"/>
  <c r="BI68" i="4"/>
  <c r="BO39" i="4"/>
  <c r="G11" i="3"/>
  <c r="AE11" i="3"/>
  <c r="AS21" i="3"/>
  <c r="AD21" i="3"/>
  <c r="L21" i="3"/>
  <c r="C21" i="3"/>
  <c r="AE19" i="3"/>
  <c r="Y11" i="3"/>
  <c r="AK11" i="3"/>
  <c r="BE21" i="3"/>
  <c r="S19" i="3"/>
  <c r="O21" i="3"/>
  <c r="AV21" i="3"/>
  <c r="AT21" i="3"/>
  <c r="M19" i="3"/>
  <c r="Y19" i="3"/>
  <c r="D21" i="3"/>
  <c r="AW36" i="1"/>
  <c r="U21" i="3"/>
  <c r="BA21" i="3"/>
  <c r="Q21" i="3"/>
  <c r="E21" i="3"/>
  <c r="BC11" i="3"/>
  <c r="G19" i="3"/>
  <c r="AQ19" i="3"/>
  <c r="F21" i="3"/>
  <c r="AY21" i="3"/>
  <c r="BI19" i="3"/>
  <c r="AQ15" i="6"/>
  <c r="J79" i="4"/>
  <c r="AD15" i="6"/>
  <c r="H15" i="6"/>
  <c r="AN15" i="6"/>
  <c r="AJ25" i="4"/>
  <c r="I16" i="4"/>
  <c r="AS38" i="4"/>
  <c r="M15" i="4"/>
  <c r="M41" i="4" s="1"/>
  <c r="K16" i="4"/>
  <c r="AI24" i="6"/>
  <c r="AI26" i="6" s="1"/>
  <c r="AQ41" i="4"/>
  <c r="AG16" i="4"/>
  <c r="AG25" i="4" s="1"/>
  <c r="AD39" i="4"/>
  <c r="M24" i="6"/>
  <c r="BA17" i="6"/>
  <c r="BA24" i="6" s="1"/>
  <c r="G38" i="4"/>
  <c r="F24" i="6" s="1"/>
  <c r="K79" i="4"/>
  <c r="AB24" i="6"/>
  <c r="AB36" i="6" s="1"/>
  <c r="AE68" i="4"/>
  <c r="AD79" i="4" s="1"/>
  <c r="AI39" i="4"/>
  <c r="AE13" i="4"/>
  <c r="C41" i="4"/>
  <c r="O16" i="4"/>
  <c r="AW68" i="4"/>
  <c r="BI41" i="4"/>
  <c r="BC13" i="4"/>
  <c r="BI42" i="4"/>
  <c r="X24" i="6"/>
  <c r="X26" i="6" s="1"/>
  <c r="C24" i="6"/>
  <c r="J17" i="6"/>
  <c r="J24" i="6" s="1"/>
  <c r="J26" i="6" s="1"/>
  <c r="BA16" i="4"/>
  <c r="BA25" i="4" s="1"/>
  <c r="T24" i="6"/>
  <c r="T26" i="6" s="1"/>
  <c r="M38" i="4"/>
  <c r="K17" i="6" s="1"/>
  <c r="K24" i="6" s="1"/>
  <c r="K26" i="6" s="1"/>
  <c r="P39" i="4"/>
  <c r="AP16" i="4"/>
  <c r="AP25" i="4" s="1"/>
  <c r="AD24" i="6"/>
  <c r="F16" i="4"/>
  <c r="F24" i="1" s="1"/>
  <c r="Y41" i="4"/>
  <c r="AQ42" i="4"/>
  <c r="BI5" i="1"/>
  <c r="AW24" i="6"/>
  <c r="AW36" i="6" s="1"/>
  <c r="P79" i="4"/>
  <c r="D39" i="4"/>
  <c r="AU39" i="4"/>
  <c r="L16" i="4"/>
  <c r="AM39" i="4"/>
  <c r="W24" i="6"/>
  <c r="W36" i="6" s="1"/>
  <c r="AP39" i="4"/>
  <c r="Y7" i="4"/>
  <c r="Y42" i="4" s="1"/>
  <c r="S38" i="4"/>
  <c r="P24" i="6" s="1"/>
  <c r="P36" i="6" s="1"/>
  <c r="BA39" i="4"/>
  <c r="AH24" i="6"/>
  <c r="AH26" i="6" s="1"/>
  <c r="G15" i="4"/>
  <c r="G41" i="4" s="1"/>
  <c r="Y68" i="4"/>
  <c r="X79" i="4" s="1"/>
  <c r="I17" i="6"/>
  <c r="I24" i="6" s="1"/>
  <c r="I26" i="6" s="1"/>
  <c r="W19" i="3"/>
  <c r="W21" i="3" s="1"/>
  <c r="BC19" i="3"/>
  <c r="P21" i="3"/>
  <c r="AJ21" i="3"/>
  <c r="I21" i="3"/>
  <c r="R21" i="3"/>
  <c r="BC36" i="1"/>
  <c r="AC21" i="3"/>
  <c r="K21" i="3"/>
  <c r="S11" i="3"/>
  <c r="AQ7" i="3"/>
  <c r="AW19" i="3"/>
  <c r="BO21" i="3"/>
  <c r="AW19" i="2"/>
  <c r="AY19" i="2"/>
  <c r="AT34" i="2"/>
  <c r="P34" i="2"/>
  <c r="X34" i="2"/>
  <c r="AS34" i="2"/>
  <c r="BA30" i="1" s="1"/>
  <c r="AV19" i="2"/>
  <c r="AW37" i="1"/>
  <c r="BC37" i="1"/>
  <c r="M11" i="1"/>
  <c r="M14" i="1" s="1"/>
  <c r="M16" i="1" s="1"/>
  <c r="M19" i="1" s="1"/>
  <c r="M21" i="1" s="1"/>
  <c r="AQ37" i="1"/>
  <c r="BI37" i="1"/>
  <c r="AE11" i="1"/>
  <c r="AE14" i="1" s="1"/>
  <c r="AE16" i="1" s="1"/>
  <c r="AE19" i="1" s="1"/>
  <c r="AE21" i="1" s="1"/>
  <c r="BK21" i="1"/>
  <c r="BA42" i="2"/>
  <c r="AM15" i="6"/>
  <c r="BO25" i="4"/>
  <c r="BO7" i="1"/>
  <c r="BO11" i="1" s="1"/>
  <c r="BO14" i="1" s="1"/>
  <c r="BO16" i="1" s="1"/>
  <c r="BO19" i="1" s="1"/>
  <c r="BO21" i="1" s="1"/>
  <c r="BO5" i="1"/>
  <c r="AO15" i="6"/>
  <c r="AO6" i="3"/>
  <c r="AO11" i="3" s="1"/>
  <c r="AO21" i="3" s="1"/>
  <c r="BB25" i="4"/>
  <c r="BE25" i="4"/>
  <c r="AI25" i="4"/>
  <c r="AH25" i="4"/>
  <c r="BI36" i="1"/>
  <c r="BH21" i="3"/>
  <c r="AY39" i="4"/>
  <c r="AQ24" i="6"/>
  <c r="AQ26" i="6" s="1"/>
  <c r="AR24" i="6"/>
  <c r="AR36" i="6" s="1"/>
  <c r="AS24" i="6"/>
  <c r="AS26" i="6" s="1"/>
  <c r="AU25" i="4"/>
  <c r="AS25" i="4"/>
  <c r="S13" i="4"/>
  <c r="AK38" i="4"/>
  <c r="AE24" i="6" s="1"/>
  <c r="AK68" i="4"/>
  <c r="AJ79" i="4" s="1"/>
  <c r="AI11" i="3"/>
  <c r="AI21" i="3" s="1"/>
  <c r="BI6" i="3"/>
  <c r="BI11" i="3" s="1"/>
  <c r="AK26" i="4"/>
  <c r="AQ27" i="4"/>
  <c r="AN25" i="4"/>
  <c r="AM25" i="4"/>
  <c r="R39" i="4"/>
  <c r="J39" i="4"/>
  <c r="F39" i="4"/>
  <c r="AB39" i="4"/>
  <c r="AK27" i="4"/>
  <c r="AW27" i="4"/>
  <c r="AN6" i="3"/>
  <c r="AN11" i="3" s="1"/>
  <c r="AN11" i="1"/>
  <c r="AN14" i="1" s="1"/>
  <c r="AN16" i="1" s="1"/>
  <c r="AN19" i="1" s="1"/>
  <c r="AH42" i="2" s="1"/>
  <c r="BC5" i="1"/>
  <c r="AW16" i="4"/>
  <c r="AW25" i="4" s="1"/>
  <c r="AV24" i="6"/>
  <c r="AV36" i="6" s="1"/>
  <c r="BC40" i="4"/>
  <c r="U39" i="4"/>
  <c r="M42" i="4"/>
  <c r="O39" i="4"/>
  <c r="AW13" i="4"/>
  <c r="AW38" i="4"/>
  <c r="AO24" i="6" s="1"/>
  <c r="BC42" i="4"/>
  <c r="BH16" i="4"/>
  <c r="BH39" i="4"/>
  <c r="AH39" i="4"/>
  <c r="O24" i="6"/>
  <c r="O26" i="6" s="1"/>
  <c r="AE41" i="4"/>
  <c r="G13" i="4"/>
  <c r="AK13" i="4"/>
  <c r="AK41" i="4"/>
  <c r="AW40" i="4"/>
  <c r="AW5" i="1"/>
  <c r="AK24" i="4"/>
  <c r="V79" i="4"/>
  <c r="S68" i="4"/>
  <c r="R79" i="4" s="1"/>
  <c r="M68" i="4"/>
  <c r="L79" i="4" s="1"/>
  <c r="G68" i="4"/>
  <c r="AQ5" i="1"/>
  <c r="AY11" i="1"/>
  <c r="AY14" i="1" s="1"/>
  <c r="AY16" i="1" s="1"/>
  <c r="AY19" i="1" s="1"/>
  <c r="AY21" i="1" s="1"/>
  <c r="BC7" i="1"/>
  <c r="BC11" i="1" s="1"/>
  <c r="BC14" i="1" s="1"/>
  <c r="BC16" i="1" s="1"/>
  <c r="BC19" i="1" s="1"/>
  <c r="BC21" i="1" s="1"/>
  <c r="AC26" i="6"/>
  <c r="AP11" i="1"/>
  <c r="AP14" i="1" s="1"/>
  <c r="AP16" i="1" s="1"/>
  <c r="AP19" i="1" s="1"/>
  <c r="AJ42" i="2" s="1"/>
  <c r="AP6" i="3"/>
  <c r="AQ7" i="1"/>
  <c r="AQ11" i="1" s="1"/>
  <c r="AQ14" i="1" s="1"/>
  <c r="AQ16" i="1" s="1"/>
  <c r="AQ19" i="1" s="1"/>
  <c r="AQ21" i="1" s="1"/>
  <c r="BE11" i="1"/>
  <c r="BE14" i="1" s="1"/>
  <c r="BE16" i="1" s="1"/>
  <c r="BE19" i="1" s="1"/>
  <c r="BE21" i="1" s="1"/>
  <c r="BI7" i="1"/>
  <c r="BI11" i="1" s="1"/>
  <c r="BI14" i="1" s="1"/>
  <c r="BI16" i="1" s="1"/>
  <c r="BI19" i="1" s="1"/>
  <c r="BI21" i="1" s="1"/>
  <c r="AY24" i="6"/>
  <c r="BC38" i="4"/>
  <c r="AE38" i="4"/>
  <c r="S26" i="6"/>
  <c r="S36" i="6"/>
  <c r="AG26" i="6"/>
  <c r="E26" i="6"/>
  <c r="E28" i="6" s="1"/>
  <c r="AO21" i="1"/>
  <c r="AW42" i="2"/>
  <c r="BF21" i="1"/>
  <c r="AN42" i="2"/>
  <c r="AU21" i="1"/>
  <c r="AX42" i="2"/>
  <c r="BG21" i="1"/>
  <c r="AY42" i="2"/>
  <c r="BH21" i="1"/>
  <c r="AX36" i="6"/>
  <c r="AX26" i="6"/>
  <c r="AJ36" i="6"/>
  <c r="AJ26" i="6"/>
  <c r="AM42" i="2"/>
  <c r="AT21" i="1"/>
  <c r="AO42" i="2"/>
  <c r="AV21" i="1"/>
  <c r="AQ39" i="4" l="1"/>
  <c r="AK21" i="3"/>
  <c r="R36" i="6"/>
  <c r="U26" i="6"/>
  <c r="U28" i="6" s="1"/>
  <c r="U32" i="6" s="1"/>
  <c r="AW21" i="3"/>
  <c r="S21" i="3"/>
  <c r="M21" i="3"/>
  <c r="AK16" i="4"/>
  <c r="AK25" i="4" s="1"/>
  <c r="S39" i="4"/>
  <c r="AE21" i="3"/>
  <c r="BC16" i="4"/>
  <c r="BC25" i="4" s="1"/>
  <c r="X39" i="4"/>
  <c r="G16" i="4"/>
  <c r="G24" i="1" s="1"/>
  <c r="BD28" i="6"/>
  <c r="BD32" i="6" s="1"/>
  <c r="BD33" i="6"/>
  <c r="BF28" i="6"/>
  <c r="BF32" i="6" s="1"/>
  <c r="BF33" i="6"/>
  <c r="BG28" i="6"/>
  <c r="BG32" i="6" s="1"/>
  <c r="BG33" i="6"/>
  <c r="BC26" i="6"/>
  <c r="BC28" i="6" s="1"/>
  <c r="BC32" i="6" s="1"/>
  <c r="X24" i="1"/>
  <c r="Y24" i="1" s="1"/>
  <c r="Y16" i="4"/>
  <c r="S16" i="4"/>
  <c r="S24" i="1" s="1"/>
  <c r="Y26" i="6"/>
  <c r="Y28" i="6" s="1"/>
  <c r="Y32" i="6" s="1"/>
  <c r="N26" i="6"/>
  <c r="N28" i="6" s="1"/>
  <c r="N32" i="6" s="1"/>
  <c r="Y21" i="3"/>
  <c r="BC21" i="3"/>
  <c r="BB36" i="6"/>
  <c r="BB26" i="6"/>
  <c r="F26" i="6"/>
  <c r="F28" i="6" s="1"/>
  <c r="F32" i="6" s="1"/>
  <c r="AK39" i="4"/>
  <c r="G21" i="3"/>
  <c r="BI21" i="3"/>
  <c r="D32" i="6"/>
  <c r="AS36" i="6"/>
  <c r="AH36" i="6"/>
  <c r="AD36" i="6"/>
  <c r="E32" i="6"/>
  <c r="AB26" i="6"/>
  <c r="AB33" i="6" s="1"/>
  <c r="C26" i="6"/>
  <c r="C28" i="6" s="1"/>
  <c r="C32" i="6" s="1"/>
  <c r="P26" i="6"/>
  <c r="P33" i="6" s="1"/>
  <c r="T36" i="6"/>
  <c r="M36" i="6"/>
  <c r="M26" i="6"/>
  <c r="M28" i="6" s="1"/>
  <c r="M32" i="6" s="1"/>
  <c r="W26" i="6"/>
  <c r="W33" i="6" s="1"/>
  <c r="AI36" i="6"/>
  <c r="BA36" i="6"/>
  <c r="BA26" i="6"/>
  <c r="D33" i="6"/>
  <c r="AN21" i="3"/>
  <c r="AD26" i="6"/>
  <c r="AD33" i="6" s="1"/>
  <c r="M39" i="4"/>
  <c r="AQ36" i="6"/>
  <c r="AW39" i="4"/>
  <c r="M16" i="4"/>
  <c r="M24" i="1" s="1"/>
  <c r="AM11" i="1"/>
  <c r="AM14" i="1" s="1"/>
  <c r="AM16" i="1" s="1"/>
  <c r="AM19" i="1" s="1"/>
  <c r="AG42" i="2" s="1"/>
  <c r="AM6" i="3"/>
  <c r="AM11" i="3" s="1"/>
  <c r="X36" i="6"/>
  <c r="AR26" i="6"/>
  <c r="AR33" i="6" s="1"/>
  <c r="AV26" i="6"/>
  <c r="AV33" i="6" s="1"/>
  <c r="AW26" i="6"/>
  <c r="AW28" i="6" s="1"/>
  <c r="AW32" i="6" s="1"/>
  <c r="AN24" i="6"/>
  <c r="AM24" i="6"/>
  <c r="AL24" i="6"/>
  <c r="AS39" i="4"/>
  <c r="AQ16" i="4"/>
  <c r="AY26" i="6"/>
  <c r="AY33" i="6" s="1"/>
  <c r="Y13" i="4"/>
  <c r="BI16" i="4"/>
  <c r="AN21" i="1"/>
  <c r="AV42" i="2"/>
  <c r="AE36" i="6"/>
  <c r="O36" i="6"/>
  <c r="AE26" i="6"/>
  <c r="AE28" i="6" s="1"/>
  <c r="AE32" i="6" s="1"/>
  <c r="BH25" i="4"/>
  <c r="G39" i="4"/>
  <c r="AY36" i="6"/>
  <c r="AT24" i="6"/>
  <c r="BC39" i="4"/>
  <c r="AP11" i="3"/>
  <c r="AC28" i="6"/>
  <c r="AC32" i="6" s="1"/>
  <c r="AC33" i="6"/>
  <c r="AE39" i="4"/>
  <c r="Z24" i="6"/>
  <c r="AO26" i="6"/>
  <c r="AO36" i="6"/>
  <c r="U33" i="6"/>
  <c r="S28" i="6"/>
  <c r="S32" i="6" s="1"/>
  <c r="S33" i="6"/>
  <c r="E33" i="6"/>
  <c r="AG28" i="6"/>
  <c r="AG32" i="6" s="1"/>
  <c r="AG33" i="6"/>
  <c r="I28" i="6"/>
  <c r="I32" i="6" s="1"/>
  <c r="I33" i="6"/>
  <c r="AX28" i="6"/>
  <c r="AX32" i="6" s="1"/>
  <c r="AX33" i="6"/>
  <c r="O28" i="6"/>
  <c r="O32" i="6" s="1"/>
  <c r="O33" i="6"/>
  <c r="AJ28" i="6"/>
  <c r="AJ32" i="6" s="1"/>
  <c r="AJ33" i="6"/>
  <c r="K28" i="6"/>
  <c r="K32" i="6" s="1"/>
  <c r="K33" i="6"/>
  <c r="T28" i="6"/>
  <c r="T32" i="6" s="1"/>
  <c r="T33" i="6"/>
  <c r="AS28" i="6"/>
  <c r="AS32" i="6" s="1"/>
  <c r="AS33" i="6"/>
  <c r="R28" i="6"/>
  <c r="R32" i="6" s="1"/>
  <c r="R33" i="6"/>
  <c r="AH33" i="6"/>
  <c r="AH28" i="6"/>
  <c r="AH32" i="6" s="1"/>
  <c r="AQ28" i="6"/>
  <c r="AQ32" i="6" s="1"/>
  <c r="AQ33" i="6"/>
  <c r="H28" i="6"/>
  <c r="H32" i="6" s="1"/>
  <c r="H33" i="6"/>
  <c r="AI28" i="6"/>
  <c r="AI32" i="6" s="1"/>
  <c r="AI33" i="6"/>
  <c r="X28" i="6"/>
  <c r="X32" i="6" s="1"/>
  <c r="X33" i="6"/>
  <c r="J28" i="6"/>
  <c r="J32" i="6" s="1"/>
  <c r="J33" i="6"/>
  <c r="AB28" i="6" l="1"/>
  <c r="AB32" i="6" s="1"/>
  <c r="N33" i="6"/>
  <c r="BC33" i="6"/>
  <c r="BC24" i="1"/>
  <c r="AQ25" i="4"/>
  <c r="Y33" i="6"/>
  <c r="C41" i="2"/>
  <c r="C53" i="2" s="1"/>
  <c r="D39" i="2" s="1"/>
  <c r="D41" i="2" s="1"/>
  <c r="D53" i="2" s="1"/>
  <c r="E39" i="2" s="1"/>
  <c r="BB28" i="6"/>
  <c r="BB32" i="6" s="1"/>
  <c r="BB33" i="6"/>
  <c r="F33" i="6"/>
  <c r="Y39" i="4"/>
  <c r="AQ6" i="3"/>
  <c r="AQ11" i="3" s="1"/>
  <c r="AQ21" i="3" s="1"/>
  <c r="AW33" i="6"/>
  <c r="P28" i="6"/>
  <c r="P32" i="6" s="1"/>
  <c r="M33" i="6"/>
  <c r="AV28" i="6"/>
  <c r="AV32" i="6" s="1"/>
  <c r="AD28" i="6"/>
  <c r="AD32" i="6" s="1"/>
  <c r="W28" i="6"/>
  <c r="W32" i="6" s="1"/>
  <c r="C33" i="6"/>
  <c r="AY28" i="6"/>
  <c r="AY32" i="6" s="1"/>
  <c r="AM26" i="6"/>
  <c r="AM36" i="6"/>
  <c r="AM21" i="1"/>
  <c r="AS11" i="1"/>
  <c r="AS14" i="1" s="1"/>
  <c r="AS16" i="1" s="1"/>
  <c r="AS19" i="1" s="1"/>
  <c r="AS21" i="1" s="1"/>
  <c r="AW7" i="1"/>
  <c r="AW11" i="1" s="1"/>
  <c r="AW14" i="1" s="1"/>
  <c r="AW16" i="1" s="1"/>
  <c r="AW19" i="1" s="1"/>
  <c r="AW21" i="1" s="1"/>
  <c r="AN36" i="6"/>
  <c r="AN26" i="6"/>
  <c r="BA28" i="6"/>
  <c r="BA32" i="6" s="1"/>
  <c r="BA33" i="6"/>
  <c r="AL36" i="6"/>
  <c r="AL26" i="6"/>
  <c r="AM21" i="3"/>
  <c r="AR28" i="6"/>
  <c r="AR32" i="6" s="1"/>
  <c r="AE33" i="6"/>
  <c r="BI25" i="4"/>
  <c r="AO28" i="6"/>
  <c r="AO32" i="6" s="1"/>
  <c r="AO33" i="6"/>
  <c r="Z26" i="6"/>
  <c r="Z36" i="6"/>
  <c r="AP21" i="3"/>
  <c r="AT36" i="6"/>
  <c r="AT26" i="6"/>
  <c r="E41" i="2" l="1"/>
  <c r="E53" i="2" s="1"/>
  <c r="F39" i="2" s="1"/>
  <c r="AL28" i="6"/>
  <c r="AL32" i="6" s="1"/>
  <c r="AL33" i="6"/>
  <c r="AQ36" i="1"/>
  <c r="AM28" i="6"/>
  <c r="AM32" i="6" s="1"/>
  <c r="AM33" i="6"/>
  <c r="AN33" i="6"/>
  <c r="AN28" i="6"/>
  <c r="AN32" i="6" s="1"/>
  <c r="AT28" i="6"/>
  <c r="AT32" i="6" s="1"/>
  <c r="AT33" i="6"/>
  <c r="Z33" i="6"/>
  <c r="Z28" i="6"/>
  <c r="Z32" i="6" s="1"/>
  <c r="F41" i="2" l="1"/>
  <c r="F53" i="2" s="1"/>
  <c r="H39" i="2" s="1"/>
  <c r="H41" i="2" s="1"/>
  <c r="H53" i="2" s="1"/>
  <c r="I39" i="2" s="1"/>
  <c r="I41" i="2" s="1"/>
  <c r="I53" i="2" s="1"/>
  <c r="J39" i="2" s="1"/>
  <c r="J41" i="2" s="1"/>
  <c r="J53" i="2" s="1"/>
  <c r="K39" i="2" s="1"/>
  <c r="K41" i="2" s="1"/>
  <c r="K53" i="2" s="1"/>
  <c r="M39" i="2" s="1"/>
  <c r="M41" i="2" s="1"/>
  <c r="M53" i="2" s="1"/>
  <c r="N39" i="2" s="1"/>
  <c r="N41" i="2" s="1"/>
  <c r="N53" i="2" s="1"/>
  <c r="O39" i="2" s="1"/>
  <c r="O41" i="2" s="1"/>
  <c r="O53" i="2" s="1"/>
  <c r="P39" i="2" s="1"/>
  <c r="P41" i="2" s="1"/>
  <c r="P53" i="2" s="1"/>
  <c r="R39" i="2" s="1"/>
  <c r="R41" i="2" s="1"/>
  <c r="R53" i="2" s="1"/>
  <c r="S39" i="2" s="1"/>
  <c r="S41" i="2" s="1"/>
  <c r="S53" i="2" s="1"/>
  <c r="T39" i="2" s="1"/>
  <c r="T41" i="2" s="1"/>
  <c r="T53" i="2" s="1"/>
  <c r="U39" i="2" s="1"/>
  <c r="U41" i="2" s="1"/>
  <c r="U53" i="2" s="1"/>
  <c r="W39" i="2" s="1"/>
  <c r="W41" i="2" s="1"/>
  <c r="W53" i="2" s="1"/>
  <c r="X39" i="2" s="1"/>
  <c r="X41" i="2" s="1"/>
  <c r="X53" i="2" s="1"/>
  <c r="Y39" i="2" s="1"/>
  <c r="Y41" i="2" s="1"/>
  <c r="Y53" i="2" s="1"/>
  <c r="Z39" i="2" s="1"/>
  <c r="Z41" i="2" s="1"/>
  <c r="Z53" i="2" s="1"/>
  <c r="AB39" i="2" s="1"/>
  <c r="AB41" i="2" s="1"/>
  <c r="AB53" i="2" s="1"/>
  <c r="AC39" i="2" s="1"/>
  <c r="AC41" i="2" s="1"/>
  <c r="AC53" i="2" s="1"/>
  <c r="AD39" i="2" s="1"/>
  <c r="AD41" i="2" s="1"/>
  <c r="AD53" i="2" s="1"/>
  <c r="AE39" i="2" s="1"/>
  <c r="AE41" i="2" s="1"/>
  <c r="AE53" i="2" s="1"/>
  <c r="AG39" i="2" s="1"/>
  <c r="AG41" i="2" s="1"/>
  <c r="AG53" i="2" s="1"/>
  <c r="AH39" i="2" s="1"/>
  <c r="AH41" i="2" s="1"/>
  <c r="AH53" i="2" s="1"/>
  <c r="AI39" i="2" s="1"/>
  <c r="AI41" i="2" s="1"/>
  <c r="AI53" i="2" s="1"/>
  <c r="AJ39" i="2" s="1"/>
  <c r="AJ41" i="2" s="1"/>
  <c r="AJ53" i="2" s="1"/>
  <c r="AL39" i="2" s="1"/>
  <c r="AL41" i="2" s="1"/>
  <c r="AL53" i="2" s="1"/>
  <c r="AM39" i="2" s="1"/>
  <c r="AM41" i="2" s="1"/>
  <c r="AM53" i="2" s="1"/>
  <c r="AN39" i="2" s="1"/>
  <c r="AN41" i="2" s="1"/>
  <c r="AN53" i="2" s="1"/>
  <c r="AO39" i="2" s="1"/>
  <c r="AO41" i="2" s="1"/>
  <c r="AO53" i="2" s="1"/>
  <c r="AQ39" i="2" s="1"/>
  <c r="AQ41" i="2" s="1"/>
  <c r="AQ53" i="2" s="1"/>
  <c r="AR39" i="2" s="1"/>
  <c r="AR41" i="2" s="1"/>
  <c r="AR53" i="2" s="1"/>
  <c r="AS39" i="2" s="1"/>
  <c r="AS41" i="2" s="1"/>
  <c r="AS53" i="2" s="1"/>
  <c r="AT39" i="2" s="1"/>
  <c r="AT41" i="2" s="1"/>
  <c r="AT53" i="2" s="1"/>
  <c r="AV39" i="2" s="1"/>
  <c r="AV41" i="2" s="1"/>
  <c r="AV53" i="2" s="1"/>
  <c r="AW39" i="2" s="1"/>
  <c r="AW41" i="2" s="1"/>
  <c r="AW53" i="2" s="1"/>
  <c r="AX39" i="2" s="1"/>
  <c r="AX41" i="2" s="1"/>
  <c r="AX53" i="2" s="1"/>
  <c r="AY39" i="2" s="1"/>
  <c r="AY41" i="2" s="1"/>
  <c r="AY53" i="2" s="1"/>
  <c r="BA39" i="2" s="1"/>
  <c r="BA41" i="2" s="1"/>
  <c r="BA53" i="2" s="1"/>
  <c r="BB39" i="2" s="1"/>
  <c r="BB41" i="2" s="1"/>
  <c r="BB53" i="2" s="1"/>
  <c r="BC39" i="2" s="1"/>
  <c r="BC41" i="2" s="1"/>
  <c r="BC53" i="2" s="1"/>
  <c r="BD39" i="2" s="1"/>
  <c r="BD41" i="2" s="1"/>
  <c r="BD53" i="2" s="1"/>
  <c r="BF39" i="2" s="1"/>
  <c r="BF41" i="2" s="1"/>
  <c r="BF53" i="2" s="1"/>
  <c r="BG39" i="2" s="1"/>
  <c r="BG41" i="2" s="1"/>
  <c r="BG53" i="2" s="1"/>
  <c r="BH39" i="2" s="1"/>
  <c r="BH41" i="2" s="1"/>
  <c r="BH53" i="2" s="1"/>
  <c r="BI39" i="2" s="1"/>
  <c r="BI41" i="2" s="1"/>
  <c r="BI53" i="2" s="1"/>
  <c r="BK39" i="2" s="1"/>
  <c r="BK41" i="2" s="1"/>
  <c r="BK53" i="2" s="1"/>
  <c r="BL39" i="2" s="1"/>
  <c r="BL41" i="2" s="1"/>
  <c r="BL53" i="2" s="1"/>
  <c r="BM39" i="2" l="1"/>
  <c r="BM41" i="2" s="1"/>
  <c r="BM53" i="2" s="1"/>
  <c r="BN39" i="2" l="1"/>
  <c r="BN41" i="2" s="1"/>
  <c r="BN53" i="2" s="1"/>
  <c r="BP39" i="2" l="1"/>
  <c r="BP41" i="2" s="1"/>
  <c r="BP53" i="2" s="1"/>
  <c r="BQ39" i="2" l="1"/>
  <c r="BQ41" i="2" s="1"/>
  <c r="BQ53" i="2" s="1"/>
  <c r="BR39" i="2" l="1"/>
  <c r="BR41" i="2" s="1"/>
  <c r="BR53" i="2" s="1"/>
  <c r="BS39" i="2" l="1"/>
  <c r="BS41" i="2" s="1"/>
  <c r="BS53" i="2" s="1"/>
  <c r="BU39" i="2" s="1"/>
  <c r="BU41" i="2" s="1"/>
  <c r="BU53" i="2" s="1"/>
  <c r="BV39" i="2" s="1"/>
  <c r="BV41" i="2" s="1"/>
  <c r="BV53" i="2" s="1"/>
  <c r="BW39" i="2" l="1"/>
  <c r="BW41" i="2" s="1"/>
  <c r="BW53" i="2" s="1"/>
  <c r="BX39" i="2" s="1"/>
  <c r="BX41" i="2" s="1"/>
  <c r="BX53" i="2" s="1"/>
  <c r="M8" i="7"/>
  <c r="M7" i="7"/>
  <c r="L10" i="7"/>
  <c r="L13" i="7" s="1"/>
  <c r="M6" i="7"/>
  <c r="M9" i="7"/>
  <c r="BZ39" i="2" l="1"/>
  <c r="BZ41" i="2" s="1"/>
  <c r="BZ53" i="2" s="1"/>
  <c r="CA39" i="2" s="1"/>
  <c r="CA41" i="2" s="1"/>
  <c r="M10" i="7"/>
  <c r="M13" i="7" s="1"/>
  <c r="F59" i="7"/>
  <c r="G58" i="7"/>
  <c r="G57" i="7"/>
  <c r="F64" i="7"/>
  <c r="G62" i="7"/>
  <c r="G63" i="7"/>
  <c r="CA53" i="2" l="1"/>
  <c r="CB39" i="2" s="1"/>
  <c r="CB41" i="2" s="1"/>
  <c r="CB53" i="2" s="1"/>
  <c r="CC39" i="2" s="1"/>
  <c r="CC41" i="2" s="1"/>
  <c r="CC53" i="2" s="1"/>
  <c r="CE39" i="2" s="1"/>
  <c r="CE41" i="2" s="1"/>
  <c r="CE53" i="2" s="1"/>
  <c r="G64" i="7"/>
  <c r="G59" i="7"/>
  <c r="CF39" i="2" l="1"/>
  <c r="CF41" i="2" s="1"/>
  <c r="CF53" i="2" s="1"/>
  <c r="CG39" i="2" l="1"/>
  <c r="CG41" i="2" s="1"/>
  <c r="CG53" i="2" s="1"/>
  <c r="CH39" i="2" s="1"/>
  <c r="CH41" i="2" l="1"/>
  <c r="CH53" i="2" s="1"/>
  <c r="CJ39" i="2" l="1"/>
  <c r="CJ41" i="2" s="1"/>
  <c r="CJ53" i="2" s="1"/>
  <c r="CK39" i="2" s="1"/>
  <c r="CK41" i="2" s="1"/>
  <c r="CK53" i="2" s="1"/>
  <c r="CL39" i="2" l="1"/>
  <c r="CL41" i="2" s="1"/>
  <c r="CL53" i="2" s="1"/>
  <c r="CM39" i="2" s="1"/>
  <c r="CM41" i="2" s="1"/>
  <c r="CL25" i="2"/>
  <c r="CL34" i="2" s="1"/>
  <c r="CM53" i="2" l="1"/>
  <c r="CO39" i="2" s="1"/>
  <c r="CO41" i="2" s="1"/>
  <c r="CO53" i="2" s="1"/>
  <c r="CP39" i="2" s="1"/>
  <c r="CP41" i="2" s="1"/>
  <c r="CP53" i="2" s="1"/>
  <c r="CQ39" i="2" s="1"/>
  <c r="CQ41" i="2" s="1"/>
  <c r="CQ53" i="2" s="1"/>
  <c r="CR39" i="2" s="1"/>
  <c r="CR41" i="2" s="1"/>
  <c r="CR53" i="2" s="1"/>
  <c r="CT39" i="2" s="1"/>
  <c r="CT41" i="2" s="1"/>
  <c r="CT53" i="2" s="1"/>
  <c r="CU39" i="2" s="1"/>
  <c r="CU41" i="2" s="1"/>
  <c r="CU53" i="2" s="1"/>
  <c r="CV39" i="2" s="1"/>
  <c r="CV41" i="2" s="1"/>
  <c r="CV53" i="2" s="1"/>
  <c r="CW39" i="2" l="1"/>
  <c r="CW41" i="2" s="1"/>
  <c r="CW53" i="2" s="1"/>
  <c r="CY39" i="2" s="1"/>
  <c r="CY41" i="2" s="1"/>
  <c r="CY53" i="2" s="1"/>
  <c r="CR22" i="2"/>
  <c r="CR34" i="2"/>
  <c r="DJ11" i="1"/>
  <c r="DJ14" i="1" s="1"/>
  <c r="DJ16" i="1" s="1"/>
  <c r="DJ19" i="1" s="1"/>
  <c r="DJ21" i="1" s="1"/>
  <c r="CZ39" i="2" l="1"/>
  <c r="CZ41" i="2" s="1"/>
  <c r="CZ53" i="2" s="1"/>
  <c r="DA39" i="2" s="1"/>
  <c r="DA41" i="2" s="1"/>
  <c r="DA53" i="2" s="1"/>
  <c r="AW6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Frederiksen</author>
  </authors>
  <commentList>
    <comment ref="BW80" authorId="0" shapeId="0" xr:uid="{00000000-0006-0000-0400-000001000000}">
      <text>
        <r>
          <rPr>
            <sz val="9"/>
            <color indexed="81"/>
            <rFont val="Tahoma"/>
            <family val="2"/>
          </rPr>
          <t xml:space="preserve">RoCE has been adjusted to reflect that the acquired ABB HV Cables activities have been part of NKT from 1 March 2017
</t>
        </r>
      </text>
    </comment>
  </commentList>
</comments>
</file>

<file path=xl/sharedStrings.xml><?xml version="1.0" encoding="utf-8"?>
<sst xmlns="http://schemas.openxmlformats.org/spreadsheetml/2006/main" count="892" uniqueCount="224">
  <si>
    <t>Revenue</t>
  </si>
  <si>
    <t>EBITDA</t>
  </si>
  <si>
    <t>EBIT</t>
  </si>
  <si>
    <t>EBITA</t>
  </si>
  <si>
    <t>Financial items (net)</t>
  </si>
  <si>
    <t>Income Tax</t>
  </si>
  <si>
    <t>Net result (Group)</t>
  </si>
  <si>
    <t>Minority interests</t>
  </si>
  <si>
    <t>Net result (NKT share)</t>
  </si>
  <si>
    <t>Q1</t>
  </si>
  <si>
    <t>Q2</t>
  </si>
  <si>
    <t>Q3</t>
  </si>
  <si>
    <t>Q4</t>
  </si>
  <si>
    <t>Total</t>
  </si>
  <si>
    <t>Balance Sheet</t>
  </si>
  <si>
    <t>Key figures</t>
  </si>
  <si>
    <t>Equity ratio</t>
  </si>
  <si>
    <t>Assets</t>
  </si>
  <si>
    <t>Liabilities</t>
  </si>
  <si>
    <t>Receivables</t>
  </si>
  <si>
    <t>Cash</t>
  </si>
  <si>
    <t>Total current assets</t>
  </si>
  <si>
    <t>Total assets</t>
  </si>
  <si>
    <t>Shareholders' equity</t>
  </si>
  <si>
    <t>Change in accounting policies</t>
  </si>
  <si>
    <t>Nilfisk-Advance</t>
  </si>
  <si>
    <t>Priorparken</t>
  </si>
  <si>
    <t>NKT Flexibles</t>
  </si>
  <si>
    <t>Parent company and eliminations</t>
  </si>
  <si>
    <t>Capital employed</t>
  </si>
  <si>
    <t>Other companies</t>
  </si>
  <si>
    <t>EBITDA% - Group</t>
  </si>
  <si>
    <t xml:space="preserve"> - Nilfisk-Advance</t>
  </si>
  <si>
    <t>Treasury shares ('000)</t>
  </si>
  <si>
    <t>Outstanding shares (´000)</t>
  </si>
  <si>
    <t>EBITDA (Last 12 months)</t>
  </si>
  <si>
    <t>Real estate gains</t>
  </si>
  <si>
    <t>Industrial aktivities</t>
  </si>
  <si>
    <t>Technology activities</t>
  </si>
  <si>
    <t>Valuation</t>
  </si>
  <si>
    <t>EBITA% - Group</t>
  </si>
  <si>
    <t>Cashflow</t>
  </si>
  <si>
    <t>Equity, opening balance</t>
  </si>
  <si>
    <t>Amortizations (Goodwill)</t>
  </si>
  <si>
    <t>Depreciation (TFA)</t>
  </si>
  <si>
    <t>Provisions (long term)</t>
  </si>
  <si>
    <t>Gearing</t>
  </si>
  <si>
    <t xml:space="preserve"> </t>
  </si>
  <si>
    <t>Dividend from NKT Flexibles</t>
  </si>
  <si>
    <t>RoCE% (Last 12 months) - Group *)</t>
  </si>
  <si>
    <t>Parent company, other and eliminations</t>
  </si>
  <si>
    <t xml:space="preserve"> - NKT Cables, market prices</t>
  </si>
  <si>
    <t xml:space="preserve"> - NKT Cables, standard prices</t>
  </si>
  <si>
    <t>Discontinued operations</t>
  </si>
  <si>
    <t>Cash flow from operating activities</t>
  </si>
  <si>
    <t>Net investment in tangible assets</t>
  </si>
  <si>
    <t>Intangible assets</t>
  </si>
  <si>
    <t>Tangible assets</t>
  </si>
  <si>
    <t>Other non-current assests</t>
  </si>
  <si>
    <t>Total non-current assets</t>
  </si>
  <si>
    <t>Inventories</t>
  </si>
  <si>
    <t>Other current liabilities</t>
  </si>
  <si>
    <t>Total equity and liabilities</t>
  </si>
  <si>
    <t>Equity changes</t>
  </si>
  <si>
    <t>Profit for the period</t>
  </si>
  <si>
    <t>Foreign exchange translation differences etc.</t>
  </si>
  <si>
    <t>Financial items, net</t>
  </si>
  <si>
    <t>Discontinued operation</t>
  </si>
  <si>
    <t xml:space="preserve">Change in working capital, </t>
  </si>
  <si>
    <t>Acquisition and disposal of tangible assets</t>
  </si>
  <si>
    <t>Photonics Group</t>
  </si>
  <si>
    <t xml:space="preserve">NKT Cables </t>
  </si>
  <si>
    <t>Adjustments: (LTM)</t>
  </si>
  <si>
    <t>Operational EBITDA (LTM)</t>
  </si>
  <si>
    <t>NKT Flexibles (share of profit)</t>
  </si>
  <si>
    <t>NKT Flexibles (NKT share)</t>
  </si>
  <si>
    <t>Non-current credit institutions</t>
  </si>
  <si>
    <t>Current credit institutions</t>
  </si>
  <si>
    <t>Dividend paid (adopted at AGM)</t>
  </si>
  <si>
    <t>Actuarial gain/loss defined benefit obligations pensions</t>
  </si>
  <si>
    <t>Total Revenue, standard prices</t>
  </si>
  <si>
    <t>Oper. EBITDA% - Group, std. prices</t>
  </si>
  <si>
    <t xml:space="preserve"> - Nilfisk</t>
  </si>
  <si>
    <t>Operational EBITDA *)</t>
  </si>
  <si>
    <t>Nilfisk</t>
  </si>
  <si>
    <t xml:space="preserve"> - Nilfisk *)</t>
  </si>
  <si>
    <t>Amortisation (R&amp;D etc.)</t>
  </si>
  <si>
    <t>Other investment, etc.</t>
  </si>
  <si>
    <t>Other gains etc.</t>
  </si>
  <si>
    <t>Share capital</t>
  </si>
  <si>
    <t>Write downs &amp; impairments</t>
  </si>
  <si>
    <t>Impairments (goodwill)</t>
  </si>
  <si>
    <t>Total equity</t>
  </si>
  <si>
    <t>Paid to / received from minority interests</t>
  </si>
  <si>
    <t>Acquisitions / divestments</t>
  </si>
  <si>
    <t>Gain submarine plant</t>
  </si>
  <si>
    <t>Annualising acquisitions.</t>
  </si>
  <si>
    <t>EV / Operational EBITDA (total)</t>
  </si>
  <si>
    <t>EV / Operational EBITDA (industrial activities)</t>
  </si>
  <si>
    <t>Number of DKK 20 shares ('000)</t>
  </si>
  <si>
    <t>Total equity, after adjustments</t>
  </si>
  <si>
    <t>Income Statement (EURm)</t>
  </si>
  <si>
    <t>Earnings per share (EPS), EUR</t>
  </si>
  <si>
    <t>Market capitalisation (EURm)</t>
  </si>
  <si>
    <t>Net interest bearing debt (EURm)</t>
  </si>
  <si>
    <t>Equity, closing balance</t>
  </si>
  <si>
    <t>Segment Data (EURm)</t>
  </si>
  <si>
    <t>Valuation (EURm)</t>
  </si>
  <si>
    <t>Enterprise value (EURm)</t>
  </si>
  <si>
    <t>2005</t>
  </si>
  <si>
    <t>2006</t>
  </si>
  <si>
    <t>2007</t>
  </si>
  <si>
    <t>2008</t>
  </si>
  <si>
    <t>2009</t>
  </si>
  <si>
    <t>2010</t>
  </si>
  <si>
    <t>2015</t>
  </si>
  <si>
    <t>2014</t>
  </si>
  <si>
    <t>2013</t>
  </si>
  <si>
    <t>2012</t>
  </si>
  <si>
    <t>2011</t>
  </si>
  <si>
    <t>Balance Sheet (EURm)</t>
  </si>
  <si>
    <t xml:space="preserve">  tax, non-cash operating items etc.</t>
  </si>
  <si>
    <t>Cash flow from investing activites</t>
  </si>
  <si>
    <t>Revenue, market prices</t>
  </si>
  <si>
    <t>Revenue, standard metal prices</t>
  </si>
  <si>
    <t>Market price, DKK, per share</t>
  </si>
  <si>
    <t>Equity value, EUR, per share</t>
  </si>
  <si>
    <t>Dividend paid, DKK, per share</t>
  </si>
  <si>
    <t>*) adj. for non-rucurring items</t>
  </si>
  <si>
    <t>2016</t>
  </si>
  <si>
    <t>of 7.45</t>
  </si>
  <si>
    <t>Amounts reported in DKKm before 2016 are</t>
  </si>
  <si>
    <t>converted to EURm with at a fixed exchange rate</t>
  </si>
  <si>
    <t>neg.</t>
  </si>
  <si>
    <t>Number of treasury shares ('000)</t>
  </si>
  <si>
    <t>Own shares/warrants/share buyback etc.</t>
  </si>
  <si>
    <t>Assets held for sale/distribution</t>
  </si>
  <si>
    <t>Liabilities assoc. w. assets held for sale/dist.</t>
  </si>
  <si>
    <t>Share issue/disposal treasury shares</t>
  </si>
  <si>
    <t>NKT, market prices</t>
  </si>
  <si>
    <t>NKT Photonics</t>
  </si>
  <si>
    <t>NKT</t>
  </si>
  <si>
    <t xml:space="preserve">NKT </t>
  </si>
  <si>
    <t xml:space="preserve"> - NKT, std. prices</t>
  </si>
  <si>
    <t>NKT, standard prices **)</t>
  </si>
  <si>
    <t xml:space="preserve"> - NKT Photonics</t>
  </si>
  <si>
    <t xml:space="preserve"> - NKT, market prices</t>
  </si>
  <si>
    <t xml:space="preserve"> - NKT, standard prices</t>
  </si>
  <si>
    <t xml:space="preserve"> - NKT *)</t>
  </si>
  <si>
    <t>NKT A/S</t>
  </si>
  <si>
    <t>NKT Group</t>
  </si>
  <si>
    <t>Nilfisk depreciation and amortisation is, in accordance</t>
  </si>
  <si>
    <t>with IFRS rules for discontinued operations, ceased</t>
  </si>
  <si>
    <t>with effect from Dec. 2016.</t>
  </si>
  <si>
    <t xml:space="preserve">**) Standard metalprices at 1,550 EUR/tonne for copper </t>
  </si>
  <si>
    <t xml:space="preserve">     and 1,350 EUR/tonne for aluminium</t>
  </si>
  <si>
    <t>Non controlling interest (EURm)</t>
  </si>
  <si>
    <t>2017</t>
  </si>
  <si>
    <t xml:space="preserve">For the purpose of comparability, consolidated 2016/17 </t>
  </si>
  <si>
    <t>figures includes items from discontinued operations (Nilfisk)</t>
  </si>
  <si>
    <t>Nilfisk (discontinued operations)</t>
  </si>
  <si>
    <t>Restructuring provisions etc.</t>
  </si>
  <si>
    <t>Note: Q4 and total excl. Nilfisk</t>
  </si>
  <si>
    <t>Note: Q4 excl. Nilfisk</t>
  </si>
  <si>
    <t>NIBD/operational EBITDA*</t>
  </si>
  <si>
    <t>acquired ABB HV Cables activities</t>
  </si>
  <si>
    <t>*Incl. proforma EBITDA for the</t>
  </si>
  <si>
    <t>for January/February 2017</t>
  </si>
  <si>
    <t>Cash flow - change in NIBD (EURm)</t>
  </si>
  <si>
    <t>Nilfisk demerger</t>
  </si>
  <si>
    <t>Nilfisk shares distributed to shareholders</t>
  </si>
  <si>
    <t>2018</t>
  </si>
  <si>
    <t>Hybrid Capital</t>
  </si>
  <si>
    <t>Hybrid capital</t>
  </si>
  <si>
    <t>Hybrid capital, net</t>
  </si>
  <si>
    <t>2019</t>
  </si>
  <si>
    <t>Coupon payments on Hybrid capital</t>
  </si>
  <si>
    <t>2020</t>
  </si>
  <si>
    <t xml:space="preserve">Free cash flow </t>
  </si>
  <si>
    <t>Revenue (market prices)</t>
  </si>
  <si>
    <t>NKT - Solutions</t>
  </si>
  <si>
    <t>NKT - Applications</t>
  </si>
  <si>
    <t>NKT - Service &amp; Accessories</t>
  </si>
  <si>
    <t>Elimination of transactions between segments</t>
  </si>
  <si>
    <t>Operational EBITDA</t>
  </si>
  <si>
    <t>One-off costs</t>
  </si>
  <si>
    <t>Operational EBIT</t>
  </si>
  <si>
    <t>Non-allocated costs</t>
  </si>
  <si>
    <t>Working Capital</t>
  </si>
  <si>
    <t>Non-allocated items</t>
  </si>
  <si>
    <t>RoCE</t>
  </si>
  <si>
    <t xml:space="preserve">     </t>
  </si>
  <si>
    <t>*) Standard metalprices at 1,550 EUR/tonne for copper and 1,350 EUR/tonne for aluminium</t>
  </si>
  <si>
    <t>Revenue* (std. metal prices)</t>
  </si>
  <si>
    <t>Organic growth</t>
  </si>
  <si>
    <t>FTE, end of period</t>
  </si>
  <si>
    <t>Cash flow from investing activities excl. acq. &amp; div.</t>
  </si>
  <si>
    <t>Free cash flow excl. acq. &amp; div.</t>
  </si>
  <si>
    <t>2021</t>
  </si>
  <si>
    <t>Average numbers of employees</t>
  </si>
  <si>
    <t>-0.0</t>
  </si>
  <si>
    <t>EBT</t>
  </si>
  <si>
    <t>Net interest-bearing debt</t>
  </si>
  <si>
    <t>2022</t>
  </si>
  <si>
    <t>Note: 2022 excl. Photonics</t>
  </si>
  <si>
    <t>Note: Photonics is discontinued from Q2 2022</t>
  </si>
  <si>
    <t>Note: 2022 excl. Photonics for P&amp;L and cash flow</t>
  </si>
  <si>
    <t>(the total is eksklusive photonics)</t>
  </si>
  <si>
    <t>2023</t>
  </si>
  <si>
    <t>Note: 2023 excl. Photonics</t>
  </si>
  <si>
    <t>Note: Photonics is discontinued</t>
  </si>
  <si>
    <t>Deferred hedge gains and losses transferred to inventory</t>
  </si>
  <si>
    <t>Note: 2023 excl. Photonics for P&amp;L and cash flow</t>
  </si>
  <si>
    <t>2024</t>
  </si>
  <si>
    <t>Note: 2024 excl. Photonics</t>
  </si>
  <si>
    <t>Note: 2024 excl. Photonics for P&amp;L and cash flow</t>
  </si>
  <si>
    <t>Note: 2025 excl. Photonics for P&amp;L and cash flow</t>
  </si>
  <si>
    <t>Value adjstment of hedging instruments</t>
  </si>
  <si>
    <t>Contract assets</t>
  </si>
  <si>
    <t>Non-current, contract liabilities</t>
  </si>
  <si>
    <t>Current, contract liabilities</t>
  </si>
  <si>
    <t>Other non-current liabilities</t>
  </si>
  <si>
    <t>Derivative financial intruments</t>
  </si>
  <si>
    <t>Shareholder' equity (NKT shareholder)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</si>
</sst>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.00_);_(* \(#,##0.00\);_(* &quot;-&quot;??_);_(@_)"/>
    <numFmt numFmtId="165" formatCode="0.0"/>
    <numFmt numFmtId="166" formatCode="0.0%"/>
    <numFmt numFmtId="167" formatCode="0.0\x"/>
    <numFmt numFmtId="168" formatCode="_(* #,##0_);_(* \(#,##0\);_(* &quot;-&quot;??_);_(@_)"/>
    <numFmt numFmtId="169" formatCode="_(* #,##0.0_);_(* \(#,##0.0\);_(* &quot;-&quot;??_);_(@_)"/>
    <numFmt numFmtId="170" formatCode="#,##0.0;\-#,##0.0"/>
    <numFmt numFmtId="171" formatCode="#,##0.000;\-#,##0.000"/>
    <numFmt numFmtId="172" formatCode="#,##0.0_ ;\-#,##0.0\ "/>
    <numFmt numFmtId="173" formatCode="#,##0.0"/>
  </numFmts>
  <fonts count="22" x14ac:knownFonts="1">
    <font>
      <sz val="10"/>
      <name val="Arial"/>
    </font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name val="Arial"/>
      <family val="2"/>
      <scheme val="minor"/>
    </font>
    <font>
      <b/>
      <u/>
      <sz val="10"/>
      <name val="Arial"/>
      <family val="2"/>
      <scheme val="minor"/>
    </font>
    <font>
      <b/>
      <i/>
      <sz val="10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10"/>
      <color theme="4"/>
      <name val="Arial"/>
      <family val="2"/>
      <scheme val="minor"/>
    </font>
    <font>
      <b/>
      <sz val="10"/>
      <color theme="5"/>
      <name val="Arial"/>
      <family val="2"/>
      <scheme val="minor"/>
    </font>
    <font>
      <sz val="10"/>
      <color theme="5"/>
      <name val="Arial"/>
      <family val="2"/>
      <scheme val="minor"/>
    </font>
    <font>
      <i/>
      <sz val="10"/>
      <name val="Arial"/>
      <family val="2"/>
      <scheme val="minor"/>
    </font>
    <font>
      <sz val="8"/>
      <name val="Arial"/>
      <family val="2"/>
      <scheme val="minor"/>
    </font>
    <font>
      <sz val="9"/>
      <color indexed="81"/>
      <name val="Tahoma"/>
      <family val="2"/>
    </font>
    <font>
      <sz val="36"/>
      <color theme="2"/>
      <name val="Arial"/>
      <family val="2"/>
      <scheme val="minor"/>
    </font>
    <font>
      <sz val="10"/>
      <color theme="2"/>
      <name val="Arial"/>
      <family val="2"/>
      <scheme val="minor"/>
    </font>
    <font>
      <b/>
      <sz val="36"/>
      <color theme="2"/>
      <name val="Arial"/>
      <family val="2"/>
      <scheme val="minor"/>
    </font>
    <font>
      <b/>
      <sz val="10"/>
      <color theme="2"/>
      <name val="Arial"/>
      <family val="2"/>
      <scheme val="minor"/>
    </font>
    <font>
      <sz val="10"/>
      <color theme="4"/>
      <name val="Arial"/>
      <family val="2"/>
      <scheme val="minor"/>
    </font>
    <font>
      <sz val="11"/>
      <color theme="1"/>
      <name val="Arial"/>
      <family val="2"/>
    </font>
    <font>
      <b/>
      <sz val="10"/>
      <color rgb="FFFF0000"/>
      <name val="Arial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E3EAF7"/>
        <bgColor indexed="64"/>
      </patternFill>
    </fill>
    <fill>
      <patternFill patternType="gray125">
        <bgColor theme="0"/>
      </patternFill>
    </fill>
    <fill>
      <patternFill patternType="gray125">
        <bgColor rgb="FFE3EAF7"/>
      </patternFill>
    </fill>
    <fill>
      <patternFill patternType="mediumGray"/>
    </fill>
    <fill>
      <patternFill patternType="mediumGray">
        <bgColor rgb="FFE3EAF7"/>
      </patternFill>
    </fill>
    <fill>
      <patternFill patternType="mediumGray">
        <bgColor theme="0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theme="4"/>
      </bottom>
      <diagonal/>
    </border>
    <border>
      <left/>
      <right/>
      <top style="hair">
        <color indexed="64"/>
      </top>
      <bottom style="thin">
        <color theme="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320">
    <xf numFmtId="0" fontId="0" fillId="0" borderId="0" xfId="0"/>
    <xf numFmtId="0" fontId="3" fillId="0" borderId="0" xfId="0" applyFont="1"/>
    <xf numFmtId="0" fontId="5" fillId="0" borderId="0" xfId="0" applyFont="1"/>
    <xf numFmtId="37" fontId="3" fillId="0" borderId="0" xfId="0" applyNumberFormat="1" applyFont="1"/>
    <xf numFmtId="37" fontId="5" fillId="0" borderId="0" xfId="0" applyNumberFormat="1" applyFont="1"/>
    <xf numFmtId="10" fontId="5" fillId="0" borderId="0" xfId="0" applyNumberFormat="1" applyFont="1"/>
    <xf numFmtId="9" fontId="5" fillId="0" borderId="0" xfId="2" applyFont="1"/>
    <xf numFmtId="9" fontId="5" fillId="3" borderId="0" xfId="2" applyFont="1" applyFill="1"/>
    <xf numFmtId="9" fontId="5" fillId="0" borderId="0" xfId="2" applyFont="1" applyFill="1"/>
    <xf numFmtId="168" fontId="5" fillId="0" borderId="0" xfId="1" applyNumberFormat="1" applyFont="1" applyFill="1"/>
    <xf numFmtId="168" fontId="5" fillId="0" borderId="0" xfId="1" applyNumberFormat="1" applyFont="1"/>
    <xf numFmtId="165" fontId="5" fillId="0" borderId="0" xfId="0" applyNumberFormat="1" applyFont="1"/>
    <xf numFmtId="165" fontId="5" fillId="3" borderId="0" xfId="0" applyNumberFormat="1" applyFont="1" applyFill="1"/>
    <xf numFmtId="1" fontId="5" fillId="0" borderId="0" xfId="0" applyNumberFormat="1" applyFont="1"/>
    <xf numFmtId="37" fontId="5" fillId="3" borderId="0" xfId="0" applyNumberFormat="1" applyFont="1" applyFill="1"/>
    <xf numFmtId="164" fontId="5" fillId="0" borderId="0" xfId="1" applyFont="1"/>
    <xf numFmtId="168" fontId="5" fillId="0" borderId="0" xfId="0" applyNumberFormat="1" applyFont="1"/>
    <xf numFmtId="169" fontId="5" fillId="0" borderId="0" xfId="0" applyNumberFormat="1" applyFont="1"/>
    <xf numFmtId="9" fontId="5" fillId="0" borderId="0" xfId="0" applyNumberFormat="1" applyFont="1"/>
    <xf numFmtId="0" fontId="6" fillId="0" borderId="0" xfId="0" applyFont="1"/>
    <xf numFmtId="0" fontId="3" fillId="0" borderId="1" xfId="0" applyFont="1" applyBorder="1"/>
    <xf numFmtId="166" fontId="3" fillId="0" borderId="0" xfId="2" applyNumberFormat="1" applyFont="1" applyBorder="1"/>
    <xf numFmtId="166" fontId="3" fillId="0" borderId="0" xfId="2" applyNumberFormat="1" applyFont="1" applyFill="1" applyBorder="1"/>
    <xf numFmtId="0" fontId="5" fillId="4" borderId="0" xfId="0" applyFont="1" applyFill="1"/>
    <xf numFmtId="170" fontId="5" fillId="0" borderId="0" xfId="0" applyNumberFormat="1" applyFont="1"/>
    <xf numFmtId="167" fontId="5" fillId="0" borderId="0" xfId="0" applyNumberFormat="1" applyFont="1"/>
    <xf numFmtId="37" fontId="3" fillId="0" borderId="0" xfId="0" quotePrefix="1" applyNumberFormat="1" applyFont="1"/>
    <xf numFmtId="37" fontId="5" fillId="0" borderId="0" xfId="0" quotePrefix="1" applyNumberFormat="1" applyFont="1"/>
    <xf numFmtId="0" fontId="3" fillId="6" borderId="0" xfId="0" applyFont="1" applyFill="1"/>
    <xf numFmtId="37" fontId="3" fillId="6" borderId="0" xfId="0" applyNumberFormat="1" applyFont="1" applyFill="1"/>
    <xf numFmtId="9" fontId="3" fillId="6" borderId="0" xfId="2" applyFont="1" applyFill="1"/>
    <xf numFmtId="165" fontId="3" fillId="6" borderId="0" xfId="0" applyNumberFormat="1" applyFont="1" applyFill="1"/>
    <xf numFmtId="37" fontId="5" fillId="6" borderId="0" xfId="0" applyNumberFormat="1" applyFont="1" applyFill="1"/>
    <xf numFmtId="9" fontId="5" fillId="6" borderId="0" xfId="2" applyFont="1" applyFill="1"/>
    <xf numFmtId="0" fontId="3" fillId="0" borderId="2" xfId="0" applyFont="1" applyBorder="1"/>
    <xf numFmtId="0" fontId="5" fillId="0" borderId="2" xfId="0" applyFont="1" applyBorder="1"/>
    <xf numFmtId="0" fontId="5" fillId="0" borderId="4" xfId="0" applyFont="1" applyBorder="1"/>
    <xf numFmtId="0" fontId="3" fillId="0" borderId="5" xfId="0" applyFont="1" applyBorder="1"/>
    <xf numFmtId="37" fontId="3" fillId="0" borderId="5" xfId="0" applyNumberFormat="1" applyFont="1" applyBorder="1"/>
    <xf numFmtId="0" fontId="4" fillId="0" borderId="2" xfId="0" applyFont="1" applyBorder="1" applyAlignment="1">
      <alignment horizontal="right"/>
    </xf>
    <xf numFmtId="0" fontId="3" fillId="6" borderId="2" xfId="0" applyFont="1" applyFill="1" applyBorder="1" applyAlignment="1">
      <alignment horizontal="right"/>
    </xf>
    <xf numFmtId="0" fontId="5" fillId="0" borderId="5" xfId="0" applyFont="1" applyBorder="1"/>
    <xf numFmtId="0" fontId="5" fillId="6" borderId="0" xfId="0" applyFont="1" applyFill="1"/>
    <xf numFmtId="37" fontId="3" fillId="6" borderId="3" xfId="0" applyNumberFormat="1" applyFont="1" applyFill="1" applyBorder="1"/>
    <xf numFmtId="0" fontId="3" fillId="0" borderId="7" xfId="0" applyFont="1" applyBorder="1"/>
    <xf numFmtId="37" fontId="3" fillId="0" borderId="7" xfId="0" applyNumberFormat="1" applyFont="1" applyBorder="1"/>
    <xf numFmtId="37" fontId="3" fillId="6" borderId="7" xfId="0" applyNumberFormat="1" applyFont="1" applyFill="1" applyBorder="1"/>
    <xf numFmtId="0" fontId="5" fillId="0" borderId="3" xfId="0" applyFont="1" applyBorder="1"/>
    <xf numFmtId="37" fontId="5" fillId="0" borderId="3" xfId="0" applyNumberFormat="1" applyFont="1" applyBorder="1"/>
    <xf numFmtId="0" fontId="3" fillId="0" borderId="3" xfId="0" applyFont="1" applyBorder="1"/>
    <xf numFmtId="166" fontId="3" fillId="6" borderId="0" xfId="2" applyNumberFormat="1" applyFont="1" applyFill="1" applyBorder="1"/>
    <xf numFmtId="37" fontId="5" fillId="3" borderId="3" xfId="0" applyNumberFormat="1" applyFont="1" applyFill="1" applyBorder="1"/>
    <xf numFmtId="166" fontId="3" fillId="0" borderId="3" xfId="2" applyNumberFormat="1" applyFont="1" applyBorder="1"/>
    <xf numFmtId="166" fontId="3" fillId="6" borderId="3" xfId="2" applyNumberFormat="1" applyFont="1" applyFill="1" applyBorder="1"/>
    <xf numFmtId="166" fontId="3" fillId="0" borderId="3" xfId="2" applyNumberFormat="1" applyFont="1" applyFill="1" applyBorder="1"/>
    <xf numFmtId="0" fontId="12" fillId="0" borderId="0" xfId="0" applyFont="1"/>
    <xf numFmtId="167" fontId="5" fillId="6" borderId="0" xfId="0" applyNumberFormat="1" applyFont="1" applyFill="1"/>
    <xf numFmtId="37" fontId="5" fillId="6" borderId="3" xfId="0" applyNumberFormat="1" applyFont="1" applyFill="1" applyBorder="1"/>
    <xf numFmtId="170" fontId="3" fillId="0" borderId="2" xfId="0" applyNumberFormat="1" applyFont="1" applyBorder="1"/>
    <xf numFmtId="170" fontId="3" fillId="6" borderId="2" xfId="0" applyNumberFormat="1" applyFont="1" applyFill="1" applyBorder="1"/>
    <xf numFmtId="170" fontId="3" fillId="6" borderId="0" xfId="0" applyNumberFormat="1" applyFont="1" applyFill="1"/>
    <xf numFmtId="170" fontId="3" fillId="0" borderId="0" xfId="0" applyNumberFormat="1" applyFont="1"/>
    <xf numFmtId="170" fontId="5" fillId="0" borderId="4" xfId="0" applyNumberFormat="1" applyFont="1" applyBorder="1"/>
    <xf numFmtId="170" fontId="3" fillId="6" borderId="4" xfId="0" applyNumberFormat="1" applyFont="1" applyFill="1" applyBorder="1"/>
    <xf numFmtId="170" fontId="3" fillId="0" borderId="5" xfId="0" applyNumberFormat="1" applyFont="1" applyBorder="1"/>
    <xf numFmtId="170" fontId="3" fillId="6" borderId="5" xfId="0" applyNumberFormat="1" applyFont="1" applyFill="1" applyBorder="1"/>
    <xf numFmtId="170" fontId="5" fillId="6" borderId="4" xfId="0" applyNumberFormat="1" applyFont="1" applyFill="1" applyBorder="1"/>
    <xf numFmtId="170" fontId="5" fillId="0" borderId="5" xfId="0" applyNumberFormat="1" applyFont="1" applyBorder="1"/>
    <xf numFmtId="170" fontId="5" fillId="6" borderId="5" xfId="0" applyNumberFormat="1" applyFont="1" applyFill="1" applyBorder="1"/>
    <xf numFmtId="170" fontId="5" fillId="6" borderId="0" xfId="0" applyNumberFormat="1" applyFont="1" applyFill="1"/>
    <xf numFmtId="170" fontId="4" fillId="0" borderId="2" xfId="0" applyNumberFormat="1" applyFont="1" applyBorder="1" applyAlignment="1">
      <alignment horizontal="right"/>
    </xf>
    <xf numFmtId="170" fontId="3" fillId="6" borderId="2" xfId="0" applyNumberFormat="1" applyFont="1" applyFill="1" applyBorder="1" applyAlignment="1">
      <alignment horizontal="right"/>
    </xf>
    <xf numFmtId="170" fontId="5" fillId="0" borderId="2" xfId="0" applyNumberFormat="1" applyFont="1" applyBorder="1"/>
    <xf numFmtId="165" fontId="5" fillId="0" borderId="0" xfId="0" applyNumberFormat="1" applyFont="1" applyAlignment="1">
      <alignment horizontal="center"/>
    </xf>
    <xf numFmtId="165" fontId="3" fillId="0" borderId="0" xfId="0" applyNumberFormat="1" applyFont="1"/>
    <xf numFmtId="165" fontId="3" fillId="0" borderId="0" xfId="0" applyNumberFormat="1" applyFont="1" applyAlignment="1">
      <alignment horizontal="center"/>
    </xf>
    <xf numFmtId="165" fontId="5" fillId="6" borderId="0" xfId="0" applyNumberFormat="1" applyFont="1" applyFill="1"/>
    <xf numFmtId="165" fontId="5" fillId="0" borderId="4" xfId="0" applyNumberFormat="1" applyFont="1" applyBorder="1"/>
    <xf numFmtId="165" fontId="3" fillId="0" borderId="4" xfId="0" applyNumberFormat="1" applyFont="1" applyBorder="1"/>
    <xf numFmtId="165" fontId="5" fillId="0" borderId="5" xfId="0" applyNumberFormat="1" applyFont="1" applyBorder="1"/>
    <xf numFmtId="165" fontId="3" fillId="0" borderId="5" xfId="0" applyNumberFormat="1" applyFont="1" applyBorder="1"/>
    <xf numFmtId="165" fontId="5" fillId="0" borderId="6" xfId="0" applyNumberFormat="1" applyFont="1" applyBorder="1"/>
    <xf numFmtId="165" fontId="3" fillId="0" borderId="6" xfId="0" applyNumberFormat="1" applyFont="1" applyBorder="1"/>
    <xf numFmtId="165" fontId="7" fillId="0" borderId="0" xfId="0" applyNumberFormat="1" applyFont="1"/>
    <xf numFmtId="165" fontId="3" fillId="0" borderId="2" xfId="0" applyNumberFormat="1" applyFont="1" applyBorder="1"/>
    <xf numFmtId="165" fontId="3" fillId="0" borderId="2" xfId="0" applyNumberFormat="1" applyFont="1" applyBorder="1" applyAlignment="1">
      <alignment horizontal="right"/>
    </xf>
    <xf numFmtId="165" fontId="5" fillId="0" borderId="2" xfId="0" applyNumberFormat="1" applyFont="1" applyBorder="1"/>
    <xf numFmtId="165" fontId="8" fillId="0" borderId="0" xfId="0" applyNumberFormat="1" applyFont="1"/>
    <xf numFmtId="165" fontId="3" fillId="0" borderId="7" xfId="0" applyNumberFormat="1" applyFont="1" applyBorder="1"/>
    <xf numFmtId="165" fontId="3" fillId="6" borderId="7" xfId="0" applyNumberFormat="1" applyFont="1" applyFill="1" applyBorder="1"/>
    <xf numFmtId="165" fontId="5" fillId="0" borderId="7" xfId="0" applyNumberFormat="1" applyFont="1" applyBorder="1"/>
    <xf numFmtId="165" fontId="5" fillId="0" borderId="3" xfId="0" applyNumberFormat="1" applyFont="1" applyBorder="1"/>
    <xf numFmtId="165" fontId="3" fillId="6" borderId="3" xfId="0" applyNumberFormat="1" applyFont="1" applyFill="1" applyBorder="1"/>
    <xf numFmtId="165" fontId="3" fillId="0" borderId="3" xfId="0" applyNumberFormat="1" applyFont="1" applyBorder="1"/>
    <xf numFmtId="170" fontId="5" fillId="3" borderId="0" xfId="0" applyNumberFormat="1" applyFont="1" applyFill="1"/>
    <xf numFmtId="170" fontId="3" fillId="0" borderId="7" xfId="0" applyNumberFormat="1" applyFont="1" applyBorder="1"/>
    <xf numFmtId="170" fontId="3" fillId="6" borderId="7" xfId="0" applyNumberFormat="1" applyFont="1" applyFill="1" applyBorder="1"/>
    <xf numFmtId="170" fontId="3" fillId="0" borderId="3" xfId="0" applyNumberFormat="1" applyFont="1" applyBorder="1"/>
    <xf numFmtId="170" fontId="3" fillId="6" borderId="3" xfId="0" applyNumberFormat="1" applyFont="1" applyFill="1" applyBorder="1"/>
    <xf numFmtId="170" fontId="5" fillId="2" borderId="0" xfId="0" applyNumberFormat="1" applyFont="1" applyFill="1"/>
    <xf numFmtId="170" fontId="3" fillId="3" borderId="5" xfId="0" applyNumberFormat="1" applyFont="1" applyFill="1" applyBorder="1"/>
    <xf numFmtId="170" fontId="3" fillId="3" borderId="3" xfId="0" applyNumberFormat="1" applyFont="1" applyFill="1" applyBorder="1"/>
    <xf numFmtId="170" fontId="5" fillId="3" borderId="5" xfId="0" applyNumberFormat="1" applyFont="1" applyFill="1" applyBorder="1"/>
    <xf numFmtId="170" fontId="5" fillId="0" borderId="0" xfId="0" applyNumberFormat="1" applyFont="1" applyAlignment="1">
      <alignment horizontal="right"/>
    </xf>
    <xf numFmtId="170" fontId="5" fillId="0" borderId="3" xfId="0" applyNumberFormat="1" applyFont="1" applyBorder="1"/>
    <xf numFmtId="170" fontId="5" fillId="6" borderId="3" xfId="0" applyNumberFormat="1" applyFont="1" applyFill="1" applyBorder="1"/>
    <xf numFmtId="170" fontId="5" fillId="3" borderId="3" xfId="0" applyNumberFormat="1" applyFont="1" applyFill="1" applyBorder="1"/>
    <xf numFmtId="170" fontId="3" fillId="3" borderId="7" xfId="0" applyNumberFormat="1" applyFont="1" applyFill="1" applyBorder="1"/>
    <xf numFmtId="0" fontId="13" fillId="0" borderId="0" xfId="0" applyFont="1" applyAlignment="1">
      <alignment wrapText="1"/>
    </xf>
    <xf numFmtId="0" fontId="13" fillId="0" borderId="0" xfId="0" applyFont="1"/>
    <xf numFmtId="0" fontId="13" fillId="0" borderId="0" xfId="0" applyFont="1" applyAlignment="1">
      <alignment vertical="top" wrapText="1"/>
    </xf>
    <xf numFmtId="166" fontId="3" fillId="0" borderId="0" xfId="2" applyNumberFormat="1" applyFont="1" applyFill="1" applyBorder="1" applyAlignment="1">
      <alignment horizontal="right"/>
    </xf>
    <xf numFmtId="166" fontId="5" fillId="0" borderId="0" xfId="2" applyNumberFormat="1" applyFont="1"/>
    <xf numFmtId="37" fontId="13" fillId="0" borderId="0" xfId="0" applyNumberFormat="1" applyFont="1"/>
    <xf numFmtId="170" fontId="13" fillId="0" borderId="0" xfId="0" applyNumberFormat="1" applyFont="1"/>
    <xf numFmtId="171" fontId="5" fillId="0" borderId="0" xfId="0" applyNumberFormat="1" applyFont="1"/>
    <xf numFmtId="0" fontId="5" fillId="5" borderId="0" xfId="0" applyFont="1" applyFill="1"/>
    <xf numFmtId="0" fontId="16" fillId="5" borderId="0" xfId="0" applyFont="1" applyFill="1"/>
    <xf numFmtId="0" fontId="15" fillId="5" borderId="0" xfId="0" applyFont="1" applyFill="1"/>
    <xf numFmtId="0" fontId="15" fillId="5" borderId="0" xfId="0" applyFont="1" applyFill="1" applyAlignment="1">
      <alignment horizontal="center"/>
    </xf>
    <xf numFmtId="0" fontId="18" fillId="5" borderId="0" xfId="0" applyFont="1" applyFill="1"/>
    <xf numFmtId="0" fontId="5" fillId="0" borderId="8" xfId="0" applyFont="1" applyBorder="1"/>
    <xf numFmtId="0" fontId="5" fillId="6" borderId="8" xfId="0" applyFont="1" applyFill="1" applyBorder="1"/>
    <xf numFmtId="167" fontId="5" fillId="0" borderId="8" xfId="0" applyNumberFormat="1" applyFont="1" applyBorder="1"/>
    <xf numFmtId="167" fontId="5" fillId="6" borderId="8" xfId="0" applyNumberFormat="1" applyFont="1" applyFill="1" applyBorder="1"/>
    <xf numFmtId="0" fontId="9" fillId="0" borderId="8" xfId="0" applyFont="1" applyBorder="1"/>
    <xf numFmtId="0" fontId="11" fillId="0" borderId="8" xfId="0" applyFont="1" applyBorder="1"/>
    <xf numFmtId="0" fontId="10" fillId="0" borderId="8" xfId="0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19" fillId="0" borderId="8" xfId="0" applyFont="1" applyBorder="1"/>
    <xf numFmtId="168" fontId="3" fillId="0" borderId="0" xfId="1" applyNumberFormat="1" applyFont="1" applyBorder="1"/>
    <xf numFmtId="0" fontId="3" fillId="0" borderId="8" xfId="0" applyFont="1" applyBorder="1"/>
    <xf numFmtId="166" fontId="3" fillId="0" borderId="8" xfId="2" applyNumberFormat="1" applyFont="1" applyBorder="1"/>
    <xf numFmtId="166" fontId="3" fillId="6" borderId="8" xfId="2" applyNumberFormat="1" applyFont="1" applyFill="1" applyBorder="1"/>
    <xf numFmtId="166" fontId="3" fillId="0" borderId="8" xfId="2" applyNumberFormat="1" applyFont="1" applyFill="1" applyBorder="1"/>
    <xf numFmtId="165" fontId="3" fillId="0" borderId="9" xfId="0" applyNumberFormat="1" applyFont="1" applyBorder="1"/>
    <xf numFmtId="165" fontId="5" fillId="0" borderId="9" xfId="0" applyNumberFormat="1" applyFont="1" applyBorder="1"/>
    <xf numFmtId="165" fontId="9" fillId="0" borderId="8" xfId="0" applyNumberFormat="1" applyFont="1" applyBorder="1"/>
    <xf numFmtId="165" fontId="10" fillId="0" borderId="8" xfId="0" applyNumberFormat="1" applyFont="1" applyBorder="1"/>
    <xf numFmtId="165" fontId="10" fillId="0" borderId="8" xfId="0" applyNumberFormat="1" applyFont="1" applyBorder="1" applyAlignment="1">
      <alignment horizontal="right"/>
    </xf>
    <xf numFmtId="165" fontId="9" fillId="0" borderId="8" xfId="0" applyNumberFormat="1" applyFont="1" applyBorder="1" applyAlignment="1">
      <alignment horizontal="right"/>
    </xf>
    <xf numFmtId="165" fontId="11" fillId="0" borderId="8" xfId="0" applyNumberFormat="1" applyFont="1" applyBorder="1"/>
    <xf numFmtId="165" fontId="19" fillId="0" borderId="8" xfId="0" applyNumberFormat="1" applyFont="1" applyBorder="1"/>
    <xf numFmtId="0" fontId="3" fillId="6" borderId="8" xfId="0" applyFont="1" applyFill="1" applyBorder="1"/>
    <xf numFmtId="0" fontId="5" fillId="3" borderId="8" xfId="0" applyFont="1" applyFill="1" applyBorder="1"/>
    <xf numFmtId="37" fontId="5" fillId="3" borderId="8" xfId="0" applyNumberFormat="1" applyFont="1" applyFill="1" applyBorder="1"/>
    <xf numFmtId="37" fontId="5" fillId="0" borderId="8" xfId="0" applyNumberFormat="1" applyFont="1" applyBorder="1"/>
    <xf numFmtId="166" fontId="3" fillId="6" borderId="0" xfId="2" applyNumberFormat="1" applyFont="1" applyFill="1" applyBorder="1" applyAlignment="1">
      <alignment horizontal="right"/>
    </xf>
    <xf numFmtId="165" fontId="3" fillId="3" borderId="7" xfId="0" applyNumberFormat="1" applyFont="1" applyFill="1" applyBorder="1"/>
    <xf numFmtId="165" fontId="5" fillId="3" borderId="3" xfId="0" applyNumberFormat="1" applyFont="1" applyFill="1" applyBorder="1"/>
    <xf numFmtId="165" fontId="3" fillId="3" borderId="0" xfId="0" applyNumberFormat="1" applyFont="1" applyFill="1"/>
    <xf numFmtId="172" fontId="5" fillId="0" borderId="0" xfId="0" applyNumberFormat="1" applyFont="1"/>
    <xf numFmtId="173" fontId="5" fillId="0" borderId="0" xfId="0" applyNumberFormat="1" applyFont="1"/>
    <xf numFmtId="173" fontId="5" fillId="6" borderId="0" xfId="0" applyNumberFormat="1" applyFont="1" applyFill="1"/>
    <xf numFmtId="173" fontId="3" fillId="0" borderId="0" xfId="0" applyNumberFormat="1" applyFont="1"/>
    <xf numFmtId="173" fontId="5" fillId="0" borderId="4" xfId="0" applyNumberFormat="1" applyFont="1" applyBorder="1"/>
    <xf numFmtId="173" fontId="5" fillId="6" borderId="4" xfId="0" applyNumberFormat="1" applyFont="1" applyFill="1" applyBorder="1"/>
    <xf numFmtId="173" fontId="3" fillId="0" borderId="4" xfId="0" applyNumberFormat="1" applyFont="1" applyBorder="1"/>
    <xf numFmtId="173" fontId="5" fillId="0" borderId="5" xfId="0" applyNumberFormat="1" applyFont="1" applyBorder="1"/>
    <xf numFmtId="173" fontId="5" fillId="6" borderId="5" xfId="0" applyNumberFormat="1" applyFont="1" applyFill="1" applyBorder="1"/>
    <xf numFmtId="173" fontId="3" fillId="0" borderId="5" xfId="0" applyNumberFormat="1" applyFont="1" applyBorder="1"/>
    <xf numFmtId="173" fontId="5" fillId="0" borderId="6" xfId="0" applyNumberFormat="1" applyFont="1" applyBorder="1"/>
    <xf numFmtId="173" fontId="5" fillId="6" borderId="6" xfId="0" applyNumberFormat="1" applyFont="1" applyFill="1" applyBorder="1"/>
    <xf numFmtId="173" fontId="3" fillId="0" borderId="6" xfId="0" applyNumberFormat="1" applyFont="1" applyBorder="1"/>
    <xf numFmtId="173" fontId="5" fillId="0" borderId="0" xfId="1" applyNumberFormat="1" applyFont="1"/>
    <xf numFmtId="173" fontId="4" fillId="0" borderId="0" xfId="0" applyNumberFormat="1" applyFont="1"/>
    <xf numFmtId="173" fontId="4" fillId="6" borderId="0" xfId="0" applyNumberFormat="1" applyFont="1" applyFill="1"/>
    <xf numFmtId="173" fontId="3" fillId="0" borderId="0" xfId="0" applyNumberFormat="1" applyFont="1" applyAlignment="1">
      <alignment horizontal="center"/>
    </xf>
    <xf numFmtId="173" fontId="3" fillId="6" borderId="0" xfId="0" applyNumberFormat="1" applyFont="1" applyFill="1"/>
    <xf numFmtId="173" fontId="3" fillId="6" borderId="0" xfId="0" applyNumberFormat="1" applyFont="1" applyFill="1" applyAlignment="1">
      <alignment horizontal="center"/>
    </xf>
    <xf numFmtId="173" fontId="4" fillId="0" borderId="2" xfId="0" applyNumberFormat="1" applyFont="1" applyBorder="1" applyAlignment="1">
      <alignment horizontal="right"/>
    </xf>
    <xf numFmtId="173" fontId="4" fillId="6" borderId="2" xfId="0" applyNumberFormat="1" applyFont="1" applyFill="1" applyBorder="1" applyAlignment="1">
      <alignment horizontal="right"/>
    </xf>
    <xf numFmtId="173" fontId="3" fillId="0" borderId="2" xfId="0" applyNumberFormat="1" applyFont="1" applyBorder="1" applyAlignment="1">
      <alignment horizontal="right"/>
    </xf>
    <xf numFmtId="173" fontId="5" fillId="0" borderId="2" xfId="0" applyNumberFormat="1" applyFont="1" applyBorder="1"/>
    <xf numFmtId="173" fontId="5" fillId="3" borderId="0" xfId="0" applyNumberFormat="1" applyFont="1" applyFill="1"/>
    <xf numFmtId="173" fontId="5" fillId="3" borderId="4" xfId="0" applyNumberFormat="1" applyFont="1" applyFill="1" applyBorder="1"/>
    <xf numFmtId="173" fontId="5" fillId="0" borderId="9" xfId="0" applyNumberFormat="1" applyFont="1" applyBorder="1"/>
    <xf numFmtId="173" fontId="5" fillId="6" borderId="9" xfId="0" applyNumberFormat="1" applyFont="1" applyFill="1" applyBorder="1"/>
    <xf numFmtId="173" fontId="3" fillId="0" borderId="9" xfId="0" applyNumberFormat="1" applyFont="1" applyBorder="1"/>
    <xf numFmtId="164" fontId="5" fillId="0" borderId="0" xfId="0" applyNumberFormat="1" applyFont="1"/>
    <xf numFmtId="0" fontId="5" fillId="0" borderId="1" xfId="0" applyFont="1" applyBorder="1"/>
    <xf numFmtId="170" fontId="5" fillId="0" borderId="1" xfId="0" applyNumberFormat="1" applyFont="1" applyBorder="1"/>
    <xf numFmtId="170" fontId="5" fillId="3" borderId="4" xfId="0" applyNumberFormat="1" applyFont="1" applyFill="1" applyBorder="1"/>
    <xf numFmtId="0" fontId="5" fillId="0" borderId="7" xfId="0" applyFont="1" applyBorder="1"/>
    <xf numFmtId="166" fontId="5" fillId="0" borderId="0" xfId="2" applyNumberFormat="1" applyFont="1" applyFill="1" applyBorder="1"/>
    <xf numFmtId="0" fontId="13" fillId="0" borderId="0" xfId="0" applyFont="1" applyAlignment="1">
      <alignment vertical="top"/>
    </xf>
    <xf numFmtId="170" fontId="5" fillId="0" borderId="7" xfId="0" applyNumberFormat="1" applyFont="1" applyBorder="1"/>
    <xf numFmtId="170" fontId="3" fillId="3" borderId="0" xfId="0" applyNumberFormat="1" applyFont="1" applyFill="1"/>
    <xf numFmtId="166" fontId="3" fillId="0" borderId="2" xfId="2" applyNumberFormat="1" applyFont="1" applyFill="1" applyBorder="1"/>
    <xf numFmtId="166" fontId="3" fillId="6" borderId="2" xfId="2" applyNumberFormat="1" applyFont="1" applyFill="1" applyBorder="1"/>
    <xf numFmtId="173" fontId="3" fillId="0" borderId="0" xfId="2" applyNumberFormat="1" applyFont="1" applyBorder="1"/>
    <xf numFmtId="173" fontId="3" fillId="6" borderId="0" xfId="2" applyNumberFormat="1" applyFont="1" applyFill="1" applyBorder="1"/>
    <xf numFmtId="173" fontId="5" fillId="0" borderId="0" xfId="2" applyNumberFormat="1" applyFont="1" applyBorder="1"/>
    <xf numFmtId="9" fontId="3" fillId="0" borderId="5" xfId="2" applyFont="1" applyBorder="1"/>
    <xf numFmtId="9" fontId="3" fillId="3" borderId="5" xfId="2" applyFont="1" applyFill="1" applyBorder="1"/>
    <xf numFmtId="9" fontId="3" fillId="6" borderId="5" xfId="2" applyFont="1" applyFill="1" applyBorder="1"/>
    <xf numFmtId="9" fontId="3" fillId="0" borderId="1" xfId="2" applyFont="1" applyBorder="1"/>
    <xf numFmtId="9" fontId="3" fillId="3" borderId="1" xfId="2" applyFont="1" applyFill="1" applyBorder="1"/>
    <xf numFmtId="9" fontId="3" fillId="6" borderId="1" xfId="2" applyFont="1" applyFill="1" applyBorder="1"/>
    <xf numFmtId="170" fontId="5" fillId="1" borderId="0" xfId="0" applyNumberFormat="1" applyFont="1" applyFill="1"/>
    <xf numFmtId="170" fontId="5" fillId="7" borderId="0" xfId="0" applyNumberFormat="1" applyFont="1" applyFill="1"/>
    <xf numFmtId="170" fontId="3" fillId="8" borderId="0" xfId="0" applyNumberFormat="1" applyFont="1" applyFill="1"/>
    <xf numFmtId="166" fontId="5" fillId="0" borderId="0" xfId="2" applyNumberFormat="1" applyFont="1" applyFill="1" applyBorder="1" applyAlignment="1">
      <alignment horizontal="right"/>
    </xf>
    <xf numFmtId="3" fontId="5" fillId="0" borderId="0" xfId="2" applyNumberFormat="1" applyFont="1" applyFill="1" applyBorder="1"/>
    <xf numFmtId="3" fontId="3" fillId="6" borderId="0" xfId="2" applyNumberFormat="1" applyFont="1" applyFill="1" applyBorder="1"/>
    <xf numFmtId="3" fontId="3" fillId="0" borderId="0" xfId="0" applyNumberFormat="1" applyFont="1"/>
    <xf numFmtId="3" fontId="5" fillId="0" borderId="2" xfId="2" applyNumberFormat="1" applyFont="1" applyFill="1" applyBorder="1"/>
    <xf numFmtId="3" fontId="3" fillId="6" borderId="2" xfId="2" applyNumberFormat="1" applyFont="1" applyFill="1" applyBorder="1"/>
    <xf numFmtId="3" fontId="3" fillId="0" borderId="2" xfId="0" applyNumberFormat="1" applyFont="1" applyBorder="1"/>
    <xf numFmtId="9" fontId="3" fillId="6" borderId="0" xfId="0" applyNumberFormat="1" applyFont="1" applyFill="1"/>
    <xf numFmtId="9" fontId="3" fillId="6" borderId="5" xfId="0" applyNumberFormat="1" applyFont="1" applyFill="1" applyBorder="1"/>
    <xf numFmtId="9" fontId="3" fillId="6" borderId="1" xfId="0" applyNumberFormat="1" applyFont="1" applyFill="1" applyBorder="1"/>
    <xf numFmtId="3" fontId="5" fillId="1" borderId="0" xfId="2" applyNumberFormat="1" applyFont="1" applyFill="1" applyBorder="1"/>
    <xf numFmtId="3" fontId="3" fillId="8" borderId="0" xfId="2" applyNumberFormat="1" applyFont="1" applyFill="1" applyBorder="1"/>
    <xf numFmtId="3" fontId="5" fillId="1" borderId="2" xfId="2" applyNumberFormat="1" applyFont="1" applyFill="1" applyBorder="1"/>
    <xf numFmtId="3" fontId="3" fillId="8" borderId="2" xfId="2" applyNumberFormat="1" applyFont="1" applyFill="1" applyBorder="1"/>
    <xf numFmtId="3" fontId="3" fillId="1" borderId="0" xfId="0" applyNumberFormat="1" applyFont="1" applyFill="1"/>
    <xf numFmtId="3" fontId="3" fillId="1" borderId="2" xfId="0" applyNumberFormat="1" applyFont="1" applyFill="1" applyBorder="1"/>
    <xf numFmtId="165" fontId="5" fillId="0" borderId="0" xfId="0" quotePrefix="1" applyNumberFormat="1" applyFont="1" applyAlignment="1">
      <alignment horizontal="right"/>
    </xf>
    <xf numFmtId="170" fontId="5" fillId="9" borderId="0" xfId="0" applyNumberFormat="1" applyFont="1" applyFill="1"/>
    <xf numFmtId="170" fontId="3" fillId="9" borderId="5" xfId="0" applyNumberFormat="1" applyFont="1" applyFill="1" applyBorder="1"/>
    <xf numFmtId="170" fontId="3" fillId="10" borderId="5" xfId="0" applyNumberFormat="1" applyFont="1" applyFill="1" applyBorder="1"/>
    <xf numFmtId="170" fontId="5" fillId="11" borderId="0" xfId="0" applyNumberFormat="1" applyFont="1" applyFill="1"/>
    <xf numFmtId="170" fontId="3" fillId="10" borderId="0" xfId="0" applyNumberFormat="1" applyFont="1" applyFill="1"/>
    <xf numFmtId="173" fontId="5" fillId="9" borderId="0" xfId="0" applyNumberFormat="1" applyFont="1" applyFill="1"/>
    <xf numFmtId="173" fontId="5" fillId="9" borderId="4" xfId="0" applyNumberFormat="1" applyFont="1" applyFill="1" applyBorder="1"/>
    <xf numFmtId="173" fontId="3" fillId="9" borderId="5" xfId="0" applyNumberFormat="1" applyFont="1" applyFill="1" applyBorder="1"/>
    <xf numFmtId="9" fontId="3" fillId="9" borderId="1" xfId="2" applyFont="1" applyFill="1" applyBorder="1"/>
    <xf numFmtId="9" fontId="3" fillId="10" borderId="1" xfId="0" applyNumberFormat="1" applyFont="1" applyFill="1" applyBorder="1"/>
    <xf numFmtId="170" fontId="3" fillId="11" borderId="5" xfId="0" applyNumberFormat="1" applyFont="1" applyFill="1" applyBorder="1"/>
    <xf numFmtId="166" fontId="5" fillId="9" borderId="0" xfId="2" applyNumberFormat="1" applyFont="1" applyFill="1" applyBorder="1"/>
    <xf numFmtId="166" fontId="3" fillId="9" borderId="2" xfId="2" applyNumberFormat="1" applyFont="1" applyFill="1" applyBorder="1"/>
    <xf numFmtId="3" fontId="5" fillId="9" borderId="2" xfId="2" applyNumberFormat="1" applyFont="1" applyFill="1" applyBorder="1"/>
    <xf numFmtId="169" fontId="3" fillId="6" borderId="0" xfId="1" applyNumberFormat="1" applyFont="1" applyFill="1" applyBorder="1"/>
    <xf numFmtId="3" fontId="5" fillId="0" borderId="0" xfId="0" applyNumberFormat="1" applyFont="1"/>
    <xf numFmtId="3" fontId="5" fillId="0" borderId="4" xfId="0" applyNumberFormat="1" applyFont="1" applyBorder="1"/>
    <xf numFmtId="3" fontId="5" fillId="0" borderId="5" xfId="0" applyNumberFormat="1" applyFont="1" applyBorder="1"/>
    <xf numFmtId="3" fontId="5" fillId="0" borderId="6" xfId="0" applyNumberFormat="1" applyFont="1" applyBorder="1"/>
    <xf numFmtId="3" fontId="4" fillId="0" borderId="2" xfId="0" applyNumberFormat="1" applyFont="1" applyBorder="1" applyAlignment="1">
      <alignment horizontal="right"/>
    </xf>
    <xf numFmtId="3" fontId="5" fillId="0" borderId="9" xfId="0" applyNumberFormat="1" applyFont="1" applyBorder="1"/>
    <xf numFmtId="37" fontId="5" fillId="9" borderId="0" xfId="0" applyNumberFormat="1" applyFont="1" applyFill="1"/>
    <xf numFmtId="37" fontId="3" fillId="0" borderId="3" xfId="0" applyNumberFormat="1" applyFont="1" applyBorder="1"/>
    <xf numFmtId="37" fontId="5" fillId="0" borderId="4" xfId="0" applyNumberFormat="1" applyFont="1" applyBorder="1"/>
    <xf numFmtId="37" fontId="5" fillId="11" borderId="0" xfId="0" applyNumberFormat="1" applyFont="1" applyFill="1"/>
    <xf numFmtId="37" fontId="3" fillId="9" borderId="5" xfId="0" applyNumberFormat="1" applyFont="1" applyFill="1" applyBorder="1"/>
    <xf numFmtId="37" fontId="3" fillId="0" borderId="0" xfId="2" applyNumberFormat="1" applyFont="1" applyFill="1" applyBorder="1"/>
    <xf numFmtId="37" fontId="3" fillId="10" borderId="0" xfId="0" applyNumberFormat="1" applyFont="1" applyFill="1"/>
    <xf numFmtId="37" fontId="3" fillId="10" borderId="5" xfId="0" applyNumberFormat="1" applyFont="1" applyFill="1" applyBorder="1"/>
    <xf numFmtId="37" fontId="3" fillId="0" borderId="3" xfId="2" applyNumberFormat="1" applyFont="1" applyBorder="1"/>
    <xf numFmtId="37" fontId="5" fillId="0" borderId="0" xfId="2" applyNumberFormat="1" applyFont="1" applyBorder="1"/>
    <xf numFmtId="37" fontId="3" fillId="0" borderId="0" xfId="2" applyNumberFormat="1" applyFont="1" applyBorder="1"/>
    <xf numFmtId="37" fontId="5" fillId="9" borderId="4" xfId="0" applyNumberFormat="1" applyFont="1" applyFill="1" applyBorder="1"/>
    <xf numFmtId="37" fontId="3" fillId="0" borderId="2" xfId="0" applyNumberFormat="1" applyFont="1" applyBorder="1"/>
    <xf numFmtId="37" fontId="5" fillId="0" borderId="5" xfId="0" applyNumberFormat="1" applyFont="1" applyBorder="1"/>
    <xf numFmtId="37" fontId="4" fillId="0" borderId="2" xfId="0" applyNumberFormat="1" applyFont="1" applyBorder="1" applyAlignment="1">
      <alignment horizontal="right"/>
    </xf>
    <xf numFmtId="37" fontId="3" fillId="6" borderId="5" xfId="0" applyNumberFormat="1" applyFont="1" applyFill="1" applyBorder="1"/>
    <xf numFmtId="37" fontId="3" fillId="6" borderId="4" xfId="0" applyNumberFormat="1" applyFont="1" applyFill="1" applyBorder="1"/>
    <xf numFmtId="37" fontId="3" fillId="6" borderId="0" xfId="2" applyNumberFormat="1" applyFont="1" applyFill="1" applyBorder="1"/>
    <xf numFmtId="37" fontId="3" fillId="6" borderId="3" xfId="2" applyNumberFormat="1" applyFont="1" applyFill="1" applyBorder="1"/>
    <xf numFmtId="37" fontId="3" fillId="6" borderId="0" xfId="1" applyNumberFormat="1" applyFont="1" applyFill="1" applyBorder="1"/>
    <xf numFmtId="9" fontId="3" fillId="6" borderId="0" xfId="2" applyFont="1" applyFill="1" applyBorder="1"/>
    <xf numFmtId="1" fontId="3" fillId="6" borderId="0" xfId="0" applyNumberFormat="1" applyFont="1" applyFill="1"/>
    <xf numFmtId="1" fontId="3" fillId="0" borderId="7" xfId="0" applyNumberFormat="1" applyFont="1" applyBorder="1"/>
    <xf numFmtId="1" fontId="3" fillId="6" borderId="7" xfId="0" applyNumberFormat="1" applyFont="1" applyFill="1" applyBorder="1"/>
    <xf numFmtId="1" fontId="5" fillId="0" borderId="3" xfId="0" applyNumberFormat="1" applyFont="1" applyBorder="1"/>
    <xf numFmtId="1" fontId="3" fillId="6" borderId="3" xfId="0" applyNumberFormat="1" applyFont="1" applyFill="1" applyBorder="1"/>
    <xf numFmtId="1" fontId="3" fillId="0" borderId="0" xfId="0" applyNumberFormat="1" applyFont="1"/>
    <xf numFmtId="37" fontId="3" fillId="6" borderId="2" xfId="0" applyNumberFormat="1" applyFont="1" applyFill="1" applyBorder="1"/>
    <xf numFmtId="37" fontId="5" fillId="6" borderId="4" xfId="0" applyNumberFormat="1" applyFont="1" applyFill="1" applyBorder="1"/>
    <xf numFmtId="37" fontId="5" fillId="6" borderId="5" xfId="0" applyNumberFormat="1" applyFont="1" applyFill="1" applyBorder="1"/>
    <xf numFmtId="3" fontId="5" fillId="0" borderId="0" xfId="2" applyNumberFormat="1" applyFont="1" applyBorder="1"/>
    <xf numFmtId="9" fontId="20" fillId="0" borderId="0" xfId="2" applyFont="1"/>
    <xf numFmtId="9" fontId="3" fillId="6" borderId="4" xfId="2" applyFont="1" applyFill="1" applyBorder="1"/>
    <xf numFmtId="3" fontId="5" fillId="6" borderId="0" xfId="0" applyNumberFormat="1" applyFont="1" applyFill="1"/>
    <xf numFmtId="3" fontId="5" fillId="6" borderId="4" xfId="0" applyNumberFormat="1" applyFont="1" applyFill="1" applyBorder="1"/>
    <xf numFmtId="3" fontId="5" fillId="6" borderId="5" xfId="0" applyNumberFormat="1" applyFont="1" applyFill="1" applyBorder="1"/>
    <xf numFmtId="3" fontId="5" fillId="6" borderId="6" xfId="0" applyNumberFormat="1" applyFont="1" applyFill="1" applyBorder="1"/>
    <xf numFmtId="3" fontId="3" fillId="6" borderId="0" xfId="0" applyNumberFormat="1" applyFont="1" applyFill="1"/>
    <xf numFmtId="3" fontId="4" fillId="6" borderId="2" xfId="0" applyNumberFormat="1" applyFont="1" applyFill="1" applyBorder="1" applyAlignment="1">
      <alignment horizontal="right"/>
    </xf>
    <xf numFmtId="3" fontId="5" fillId="6" borderId="9" xfId="0" applyNumberFormat="1" applyFont="1" applyFill="1" applyBorder="1"/>
    <xf numFmtId="3" fontId="5" fillId="9" borderId="4" xfId="0" applyNumberFormat="1" applyFont="1" applyFill="1" applyBorder="1"/>
    <xf numFmtId="3" fontId="3" fillId="9" borderId="5" xfId="0" applyNumberFormat="1" applyFont="1" applyFill="1" applyBorder="1"/>
    <xf numFmtId="3" fontId="3" fillId="0" borderId="0" xfId="2" applyNumberFormat="1" applyFont="1" applyFill="1" applyBorder="1"/>
    <xf numFmtId="9" fontId="5" fillId="0" borderId="0" xfId="2" applyFont="1" applyFill="1" applyBorder="1"/>
    <xf numFmtId="37" fontId="3" fillId="9" borderId="1" xfId="2" applyNumberFormat="1" applyFont="1" applyFill="1" applyBorder="1"/>
    <xf numFmtId="37" fontId="3" fillId="6" borderId="8" xfId="0" applyNumberFormat="1" applyFont="1" applyFill="1" applyBorder="1"/>
    <xf numFmtId="168" fontId="9" fillId="0" borderId="8" xfId="1" applyNumberFormat="1" applyFont="1" applyBorder="1" applyAlignment="1">
      <alignment horizontal="right"/>
    </xf>
    <xf numFmtId="168" fontId="5" fillId="3" borderId="0" xfId="1" applyNumberFormat="1" applyFont="1" applyFill="1"/>
    <xf numFmtId="168" fontId="3" fillId="0" borderId="5" xfId="1" applyNumberFormat="1" applyFont="1" applyBorder="1"/>
    <xf numFmtId="168" fontId="5" fillId="9" borderId="0" xfId="1" applyNumberFormat="1" applyFont="1" applyFill="1"/>
    <xf numFmtId="168" fontId="3" fillId="3" borderId="3" xfId="1" applyNumberFormat="1" applyFont="1" applyFill="1" applyBorder="1"/>
    <xf numFmtId="168" fontId="5" fillId="11" borderId="0" xfId="1" applyNumberFormat="1" applyFont="1" applyFill="1"/>
    <xf numFmtId="168" fontId="3" fillId="9" borderId="5" xfId="1" applyNumberFormat="1" applyFont="1" applyFill="1" applyBorder="1"/>
    <xf numFmtId="168" fontId="3" fillId="0" borderId="3" xfId="1" applyNumberFormat="1" applyFont="1" applyBorder="1"/>
    <xf numFmtId="168" fontId="5" fillId="0" borderId="0" xfId="1" applyNumberFormat="1" applyFont="1" applyBorder="1"/>
    <xf numFmtId="168" fontId="3" fillId="0" borderId="0" xfId="1" applyNumberFormat="1" applyFont="1"/>
    <xf numFmtId="168" fontId="5" fillId="9" borderId="4" xfId="1" applyNumberFormat="1" applyFont="1" applyFill="1" applyBorder="1"/>
    <xf numFmtId="168" fontId="3" fillId="3" borderId="0" xfId="1" applyNumberFormat="1" applyFont="1" applyFill="1"/>
    <xf numFmtId="168" fontId="5" fillId="3" borderId="4" xfId="1" applyNumberFormat="1" applyFont="1" applyFill="1" applyBorder="1"/>
    <xf numFmtId="168" fontId="3" fillId="9" borderId="1" xfId="1" applyNumberFormat="1" applyFont="1" applyFill="1" applyBorder="1"/>
    <xf numFmtId="168" fontId="3" fillId="11" borderId="5" xfId="1" applyNumberFormat="1" applyFont="1" applyFill="1" applyBorder="1"/>
    <xf numFmtId="168" fontId="3" fillId="0" borderId="0" xfId="1" applyNumberFormat="1" applyFont="1" applyFill="1" applyBorder="1"/>
    <xf numFmtId="168" fontId="5" fillId="0" borderId="0" xfId="1" applyNumberFormat="1" applyFont="1" applyFill="1" applyBorder="1"/>
    <xf numFmtId="168" fontId="5" fillId="9" borderId="0" xfId="1" applyNumberFormat="1" applyFont="1" applyFill="1" applyBorder="1"/>
    <xf numFmtId="168" fontId="3" fillId="9" borderId="2" xfId="1" applyNumberFormat="1" applyFont="1" applyFill="1" applyBorder="1"/>
    <xf numFmtId="168" fontId="5" fillId="1" borderId="0" xfId="1" applyNumberFormat="1" applyFont="1" applyFill="1" applyBorder="1"/>
    <xf numFmtId="168" fontId="5" fillId="1" borderId="2" xfId="1" applyNumberFormat="1" applyFont="1" applyFill="1" applyBorder="1"/>
    <xf numFmtId="168" fontId="5" fillId="9" borderId="2" xfId="1" applyNumberFormat="1" applyFont="1" applyFill="1" applyBorder="1"/>
    <xf numFmtId="3" fontId="21" fillId="0" borderId="2" xfId="0" applyNumberFormat="1" applyFont="1" applyBorder="1" applyAlignment="1">
      <alignment horizontal="right"/>
    </xf>
    <xf numFmtId="3" fontId="5" fillId="3" borderId="0" xfId="0" applyNumberFormat="1" applyFont="1" applyFill="1"/>
    <xf numFmtId="0" fontId="17" fillId="5" borderId="0" xfId="0" applyFont="1" applyFill="1" applyAlignment="1">
      <alignment horizontal="center"/>
    </xf>
    <xf numFmtId="0" fontId="15" fillId="5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5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1" fontId="4" fillId="5" borderId="0" xfId="0" quotePrefix="1" applyNumberFormat="1" applyFont="1" applyFill="1" applyAlignment="1">
      <alignment horizontal="center"/>
    </xf>
    <xf numFmtId="1" fontId="4" fillId="5" borderId="0" xfId="0" applyNumberFormat="1" applyFont="1" applyFill="1" applyAlignment="1">
      <alignment horizontal="center"/>
    </xf>
    <xf numFmtId="165" fontId="4" fillId="5" borderId="0" xfId="0" quotePrefix="1" applyNumberFormat="1" applyFont="1" applyFill="1" applyAlignment="1">
      <alignment horizontal="center"/>
    </xf>
    <xf numFmtId="165" fontId="4" fillId="5" borderId="0" xfId="0" applyNumberFormat="1" applyFont="1" applyFill="1" applyAlignment="1">
      <alignment horizontal="center"/>
    </xf>
    <xf numFmtId="165" fontId="5" fillId="0" borderId="0" xfId="0" applyNumberFormat="1" applyFont="1" applyAlignment="1">
      <alignment horizontal="center"/>
    </xf>
  </cellXfs>
  <cellStyles count="4">
    <cellStyle name="Comma" xfId="1" builtinId="3"/>
    <cellStyle name="Normal" xfId="0" builtinId="0"/>
    <cellStyle name="Normal 9 2" xfId="3" xr:uid="{75ED6975-2D80-4B2B-BE8A-C31C2DE763BF}"/>
    <cellStyle name="Percent" xfId="2" builtinId="5"/>
  </cellStyles>
  <dxfs count="0"/>
  <tableStyles count="0" defaultTableStyle="TableStyleMedium9" defaultPivotStyle="PivotStyleLight16"/>
  <colors>
    <mruColors>
      <color rgb="FFE3EAF7"/>
      <color rgb="FFB2CF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11</xdr:col>
      <xdr:colOff>133246</xdr:colOff>
      <xdr:row>25</xdr:row>
      <xdr:rowOff>6350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0" y="76200"/>
          <a:ext cx="7020554" cy="5637823"/>
          <a:chOff x="13020675" y="2352675"/>
          <a:chExt cx="8541142" cy="6863106"/>
        </a:xfrm>
      </xdr:grpSpPr>
      <xdr:sp macro="" textlink="">
        <xdr:nvSpPr>
          <xdr:cNvPr id="10" name="Freeform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/>
          </xdr:cNvSpPr>
        </xdr:nvSpPr>
        <xdr:spPr bwMode="auto">
          <a:xfrm>
            <a:off x="14366600" y="2352675"/>
            <a:ext cx="7195217" cy="6863106"/>
          </a:xfrm>
          <a:custGeom>
            <a:avLst/>
            <a:gdLst>
              <a:gd name="T0" fmla="*/ 2675 w 4528"/>
              <a:gd name="T1" fmla="*/ 0 h 4319"/>
              <a:gd name="T2" fmla="*/ 0 w 4528"/>
              <a:gd name="T3" fmla="*/ 0 h 4319"/>
              <a:gd name="T4" fmla="*/ 2561 w 4528"/>
              <a:gd name="T5" fmla="*/ 2768 h 4319"/>
              <a:gd name="T6" fmla="*/ 2561 w 4528"/>
              <a:gd name="T7" fmla="*/ 4319 h 4319"/>
              <a:gd name="T8" fmla="*/ 4528 w 4528"/>
              <a:gd name="T9" fmla="*/ 4319 h 4319"/>
              <a:gd name="T10" fmla="*/ 4528 w 4528"/>
              <a:gd name="T11" fmla="*/ 2026 h 4319"/>
              <a:gd name="T12" fmla="*/ 2675 w 4528"/>
              <a:gd name="T13" fmla="*/ 0 h 431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4528" h="4319">
                <a:moveTo>
                  <a:pt x="2675" y="0"/>
                </a:moveTo>
                <a:lnTo>
                  <a:pt x="0" y="0"/>
                </a:lnTo>
                <a:lnTo>
                  <a:pt x="2561" y="2768"/>
                </a:lnTo>
                <a:lnTo>
                  <a:pt x="2561" y="4319"/>
                </a:lnTo>
                <a:lnTo>
                  <a:pt x="4528" y="4319"/>
                </a:lnTo>
                <a:lnTo>
                  <a:pt x="4528" y="2026"/>
                </a:lnTo>
                <a:lnTo>
                  <a:pt x="2675" y="0"/>
                </a:lnTo>
                <a:close/>
              </a:path>
            </a:pathLst>
          </a:custGeom>
          <a:solidFill>
            <a:srgbClr val="293C7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sv-SE"/>
          </a:p>
        </xdr:txBody>
      </xdr:sp>
      <xdr:sp macro="" textlink="">
        <xdr:nvSpPr>
          <xdr:cNvPr id="11" name="Freeform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>
            <a:spLocks/>
          </xdr:cNvSpPr>
        </xdr:nvSpPr>
        <xdr:spPr bwMode="auto">
          <a:xfrm>
            <a:off x="13020675" y="4191206"/>
            <a:ext cx="3081167" cy="5024575"/>
          </a:xfrm>
          <a:custGeom>
            <a:avLst/>
            <a:gdLst>
              <a:gd name="T0" fmla="*/ 0 w 1939"/>
              <a:gd name="T1" fmla="*/ 0 h 3162"/>
              <a:gd name="T2" fmla="*/ 0 w 1939"/>
              <a:gd name="T3" fmla="*/ 3162 h 3162"/>
              <a:gd name="T4" fmla="*/ 1939 w 1939"/>
              <a:gd name="T5" fmla="*/ 3162 h 3162"/>
              <a:gd name="T6" fmla="*/ 1939 w 1939"/>
              <a:gd name="T7" fmla="*/ 2093 h 3162"/>
              <a:gd name="T8" fmla="*/ 0 w 1939"/>
              <a:gd name="T9" fmla="*/ 0 h 316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939" h="3162">
                <a:moveTo>
                  <a:pt x="0" y="0"/>
                </a:moveTo>
                <a:lnTo>
                  <a:pt x="0" y="3162"/>
                </a:lnTo>
                <a:lnTo>
                  <a:pt x="1939" y="3162"/>
                </a:lnTo>
                <a:lnTo>
                  <a:pt x="1939" y="2093"/>
                </a:lnTo>
                <a:lnTo>
                  <a:pt x="0" y="0"/>
                </a:lnTo>
                <a:close/>
              </a:path>
            </a:pathLst>
          </a:custGeom>
          <a:solidFill>
            <a:srgbClr val="293C7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sv-SE"/>
          </a:p>
        </xdr:txBody>
      </xdr:sp>
    </xdr:grpSp>
    <xdr:clientData/>
  </xdr:twoCellAnchor>
  <xdr:twoCellAnchor editAs="oneCell">
    <xdr:from>
      <xdr:col>0</xdr:col>
      <xdr:colOff>114300</xdr:colOff>
      <xdr:row>0</xdr:row>
      <xdr:rowOff>25400</xdr:rowOff>
    </xdr:from>
    <xdr:to>
      <xdr:col>3</xdr:col>
      <xdr:colOff>250173</xdr:colOff>
      <xdr:row>3</xdr:row>
      <xdr:rowOff>139700</xdr:rowOff>
    </xdr:to>
    <xdr:pic>
      <xdr:nvPicPr>
        <xdr:cNvPr id="14" name="Picture 13" descr="NKT-logo-white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25400"/>
          <a:ext cx="1602723" cy="6096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8</xdr:row>
      <xdr:rowOff>254000</xdr:rowOff>
    </xdr:from>
    <xdr:to>
      <xdr:col>12</xdr:col>
      <xdr:colOff>57150</xdr:colOff>
      <xdr:row>13</xdr:row>
      <xdr:rowOff>57150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98450" y="1574800"/>
          <a:ext cx="7264400" cy="2228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GB" sz="3600">
              <a:solidFill>
                <a:schemeClr val="bg2"/>
              </a:solidFill>
            </a:rPr>
            <a:t>Key Figures </a:t>
          </a:r>
          <a:r>
            <a:rPr lang="en-GB" sz="2000">
              <a:solidFill>
                <a:schemeClr val="bg2"/>
              </a:solidFill>
            </a:rPr>
            <a:t>(unaudited)</a:t>
          </a:r>
        </a:p>
        <a:p>
          <a:pPr algn="ctr"/>
          <a:r>
            <a:rPr lang="en-GB" sz="3600">
              <a:solidFill>
                <a:schemeClr val="bg2"/>
              </a:solidFill>
            </a:rPr>
            <a:t>2005 to 2025</a:t>
          </a:r>
        </a:p>
        <a:p>
          <a:pPr algn="ctr"/>
          <a:r>
            <a:rPr lang="en-GB" sz="3600">
              <a:solidFill>
                <a:schemeClr val="bg2"/>
              </a:solidFill>
            </a:rPr>
            <a:t>in quarters</a:t>
          </a:r>
        </a:p>
      </xdr:txBody>
    </xdr:sp>
    <xdr:clientData/>
  </xdr:twoCellAnchor>
  <xdr:twoCellAnchor>
    <xdr:from>
      <xdr:col>0</xdr:col>
      <xdr:colOff>177800</xdr:colOff>
      <xdr:row>20</xdr:row>
      <xdr:rowOff>69850</xdr:rowOff>
    </xdr:from>
    <xdr:to>
      <xdr:col>13</xdr:col>
      <xdr:colOff>177800</xdr:colOff>
      <xdr:row>24</xdr:row>
      <xdr:rowOff>76200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77800" y="4972050"/>
          <a:ext cx="7766050" cy="730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 b="1" i="0" u="none" strike="noStrike">
              <a:solidFill>
                <a:schemeClr val="accent2"/>
              </a:solidFill>
              <a:latin typeface="+mn-lt"/>
              <a:ea typeface="+mn-ea"/>
              <a:cs typeface="+mn-cs"/>
            </a:rPr>
            <a:t>Disclaimer</a:t>
          </a:r>
          <a:r>
            <a:rPr lang="en-GB" sz="1100" b="1" i="0" u="none" strike="noStrike">
              <a:solidFill>
                <a:schemeClr val="bg2"/>
              </a:solidFill>
              <a:latin typeface="+mn-lt"/>
              <a:ea typeface="+mn-ea"/>
              <a:cs typeface="+mn-cs"/>
            </a:rPr>
            <a:t>:</a:t>
          </a:r>
          <a:r>
            <a:rPr lang="en-GB">
              <a:solidFill>
                <a:schemeClr val="bg2"/>
              </a:solidFill>
            </a:rPr>
            <a:t> </a:t>
          </a:r>
          <a:r>
            <a:rPr lang="en-GB" sz="1000" b="0" i="0" u="none" strike="noStrike">
              <a:solidFill>
                <a:schemeClr val="bg2"/>
              </a:solidFill>
              <a:latin typeface="+mn-lt"/>
              <a:ea typeface="+mn-ea"/>
              <a:cs typeface="+mn-cs"/>
            </a:rPr>
            <a:t>NKT A/S releases financial information via Nasdaq Copenhagen.</a:t>
          </a:r>
          <a:r>
            <a:rPr lang="en-GB" sz="1000">
              <a:solidFill>
                <a:schemeClr val="bg2"/>
              </a:solidFill>
            </a:rPr>
            <a:t> </a:t>
          </a:r>
        </a:p>
        <a:p>
          <a:r>
            <a:rPr lang="en-GB" sz="1000" b="0" i="0" u="none" strike="noStrike">
              <a:solidFill>
                <a:schemeClr val="bg2"/>
              </a:solidFill>
              <a:latin typeface="+mn-lt"/>
              <a:ea typeface="+mn-ea"/>
              <a:cs typeface="+mn-cs"/>
            </a:rPr>
            <a:t>The following pages are intended to summarise previously released financial information.</a:t>
          </a:r>
          <a:r>
            <a:rPr lang="en-GB" sz="1000">
              <a:solidFill>
                <a:schemeClr val="bg2"/>
              </a:solidFill>
            </a:rPr>
            <a:t> </a:t>
          </a:r>
        </a:p>
        <a:p>
          <a:r>
            <a:rPr lang="en-GB" sz="1000" b="0" i="0" u="none" strike="noStrike">
              <a:solidFill>
                <a:schemeClr val="bg2"/>
              </a:solidFill>
              <a:latin typeface="+mn-lt"/>
              <a:ea typeface="+mn-ea"/>
              <a:cs typeface="+mn-cs"/>
            </a:rPr>
            <a:t>In the event of any questions regarding interpretations of the content of the financial information contained on the following pages,</a:t>
          </a:r>
          <a:r>
            <a:rPr lang="en-GB" sz="1000">
              <a:solidFill>
                <a:schemeClr val="bg2"/>
              </a:solidFill>
            </a:rPr>
            <a:t> </a:t>
          </a:r>
          <a:br>
            <a:rPr lang="en-GB" sz="1000">
              <a:solidFill>
                <a:schemeClr val="bg2"/>
              </a:solidFill>
            </a:rPr>
          </a:br>
          <a:r>
            <a:rPr lang="en-GB" sz="1000" b="0" i="0" u="none" strike="noStrike">
              <a:solidFill>
                <a:schemeClr val="bg2"/>
              </a:solidFill>
              <a:latin typeface="+mn-lt"/>
              <a:ea typeface="+mn-ea"/>
              <a:cs typeface="+mn-cs"/>
            </a:rPr>
            <a:t>the information released to Nasdaq Copenhagen shall prevail.</a:t>
          </a:r>
          <a:r>
            <a:rPr lang="en-GB" sz="1000">
              <a:solidFill>
                <a:schemeClr val="bg2"/>
              </a:solidFill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NKT 2013 v3">
  <a:themeElements>
    <a:clrScheme name="NKTC 2017">
      <a:dk1>
        <a:sysClr val="windowText" lastClr="000000"/>
      </a:dk1>
      <a:lt1>
        <a:sysClr val="window" lastClr="FFFFFF"/>
      </a:lt1>
      <a:dk2>
        <a:srgbClr val="6F6F6E"/>
      </a:dk2>
      <a:lt2>
        <a:srgbClr val="FFFFFF"/>
      </a:lt2>
      <a:accent1>
        <a:srgbClr val="1E326E"/>
      </a:accent1>
      <a:accent2>
        <a:srgbClr val="FF6A13"/>
      </a:accent2>
      <a:accent3>
        <a:srgbClr val="6ECEB2"/>
      </a:accent3>
      <a:accent4>
        <a:srgbClr val="00685E"/>
      </a:accent4>
      <a:accent5>
        <a:srgbClr val="AA8066"/>
      </a:accent5>
      <a:accent6>
        <a:srgbClr val="009FDF"/>
      </a:accent6>
      <a:hlink>
        <a:srgbClr val="1E326E"/>
      </a:hlink>
      <a:folHlink>
        <a:srgbClr val="1E326E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1"/>
  <sheetViews>
    <sheetView showGridLines="0" tabSelected="1" topLeftCell="A6" zoomScale="130" zoomScaleNormal="130" workbookViewId="0">
      <selection activeCell="A6" sqref="A6"/>
    </sheetView>
  </sheetViews>
  <sheetFormatPr defaultColWidth="9.140625" defaultRowHeight="12.75" x14ac:dyDescent="0.2"/>
  <cols>
    <col min="1" max="1" width="3.7109375" style="2" customWidth="1"/>
    <col min="2" max="10" width="9.140625" style="2"/>
    <col min="11" max="11" width="17.42578125" style="2" customWidth="1"/>
    <col min="12" max="12" width="9.140625" style="2"/>
    <col min="13" max="13" width="3.85546875" style="2" customWidth="1"/>
    <col min="14" max="16384" width="9.140625" style="2"/>
  </cols>
  <sheetData>
    <row r="1" spans="1:14" x14ac:dyDescent="0.2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4" x14ac:dyDescent="0.2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4" x14ac:dyDescent="0.2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4" x14ac:dyDescent="0.2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</row>
    <row r="5" spans="1:14" x14ac:dyDescent="0.2">
      <c r="A5" s="116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6"/>
    </row>
    <row r="6" spans="1:14" x14ac:dyDescent="0.2">
      <c r="A6" s="116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6"/>
    </row>
    <row r="7" spans="1:14" x14ac:dyDescent="0.2">
      <c r="A7" s="116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6"/>
    </row>
    <row r="8" spans="1:14" x14ac:dyDescent="0.2">
      <c r="A8" s="116"/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6"/>
    </row>
    <row r="9" spans="1:14" ht="44.25" customHeight="1" x14ac:dyDescent="0.6">
      <c r="A9" s="116"/>
      <c r="B9" s="310" t="s">
        <v>149</v>
      </c>
      <c r="C9" s="310"/>
      <c r="D9" s="310"/>
      <c r="E9" s="310"/>
      <c r="F9" s="310"/>
      <c r="G9" s="310"/>
      <c r="H9" s="310"/>
      <c r="I9" s="310"/>
      <c r="J9" s="310"/>
      <c r="K9" s="310"/>
      <c r="L9" s="310"/>
      <c r="M9" s="117"/>
      <c r="N9" s="116"/>
    </row>
    <row r="10" spans="1:14" ht="44.25" x14ac:dyDescent="0.55000000000000004">
      <c r="A10" s="116"/>
      <c r="B10" s="311"/>
      <c r="C10" s="311"/>
      <c r="D10" s="311"/>
      <c r="E10" s="311"/>
      <c r="F10" s="311"/>
      <c r="G10" s="311"/>
      <c r="H10" s="311"/>
      <c r="I10" s="311"/>
      <c r="J10" s="311"/>
      <c r="K10" s="311"/>
      <c r="L10" s="311"/>
      <c r="M10" s="117"/>
      <c r="N10" s="116"/>
    </row>
    <row r="11" spans="1:14" ht="44.25" x14ac:dyDescent="0.55000000000000004">
      <c r="A11" s="116"/>
      <c r="B11" s="311"/>
      <c r="C11" s="311"/>
      <c r="D11" s="311"/>
      <c r="E11" s="311"/>
      <c r="F11" s="311"/>
      <c r="G11" s="311"/>
      <c r="H11" s="311"/>
      <c r="I11" s="311"/>
      <c r="J11" s="311"/>
      <c r="K11" s="311"/>
      <c r="L11" s="311"/>
      <c r="M11" s="117"/>
      <c r="N11" s="116"/>
    </row>
    <row r="12" spans="1:14" ht="44.25" x14ac:dyDescent="0.55000000000000004">
      <c r="A12" s="116"/>
      <c r="B12" s="311"/>
      <c r="C12" s="311"/>
      <c r="D12" s="311"/>
      <c r="E12" s="311"/>
      <c r="F12" s="311"/>
      <c r="G12" s="311"/>
      <c r="H12" s="311"/>
      <c r="I12" s="311"/>
      <c r="J12" s="311"/>
      <c r="K12" s="311"/>
      <c r="L12" s="311"/>
      <c r="M12" s="117"/>
      <c r="N12" s="116"/>
    </row>
    <row r="13" spans="1:14" ht="12.75" customHeight="1" x14ac:dyDescent="0.55000000000000004">
      <c r="A13" s="116"/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8"/>
      <c r="M13" s="117"/>
      <c r="N13" s="116"/>
    </row>
    <row r="14" spans="1:14" ht="12.75" customHeight="1" x14ac:dyDescent="0.55000000000000004">
      <c r="A14" s="116"/>
      <c r="B14" s="117"/>
      <c r="C14" s="119" t="s">
        <v>47</v>
      </c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6"/>
    </row>
    <row r="15" spans="1:14" ht="12.75" customHeight="1" x14ac:dyDescent="0.55000000000000004">
      <c r="A15" s="116"/>
      <c r="B15" s="117"/>
      <c r="C15" s="119" t="s">
        <v>47</v>
      </c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6"/>
    </row>
    <row r="16" spans="1:14" x14ac:dyDescent="0.2">
      <c r="A16" s="116"/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6"/>
    </row>
    <row r="17" spans="1:23" x14ac:dyDescent="0.2">
      <c r="A17" s="116"/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6"/>
    </row>
    <row r="18" spans="1:23" x14ac:dyDescent="0.2">
      <c r="A18" s="116"/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6"/>
    </row>
    <row r="19" spans="1:23" x14ac:dyDescent="0.2">
      <c r="A19" s="116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6"/>
    </row>
    <row r="20" spans="1:23" x14ac:dyDescent="0.2">
      <c r="A20" s="116"/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6"/>
    </row>
    <row r="21" spans="1:23" x14ac:dyDescent="0.2">
      <c r="A21" s="116"/>
      <c r="B21" s="120"/>
      <c r="C21" s="117"/>
      <c r="D21" s="117"/>
      <c r="E21" s="120"/>
      <c r="F21" s="117"/>
      <c r="G21" s="117"/>
      <c r="H21" s="117"/>
      <c r="I21" s="117"/>
      <c r="J21" s="117"/>
      <c r="K21" s="117"/>
      <c r="L21" s="117"/>
      <c r="M21" s="117"/>
      <c r="N21" s="116"/>
    </row>
    <row r="22" spans="1:23" x14ac:dyDescent="0.2">
      <c r="A22" s="116"/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6"/>
    </row>
    <row r="23" spans="1:23" x14ac:dyDescent="0.2">
      <c r="A23" s="116"/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6"/>
    </row>
    <row r="24" spans="1:23" ht="18" customHeight="1" x14ac:dyDescent="0.2">
      <c r="A24" s="116"/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6"/>
    </row>
    <row r="25" spans="1:23" x14ac:dyDescent="0.2">
      <c r="A25" s="116"/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6"/>
    </row>
    <row r="29" spans="1:23" x14ac:dyDescent="0.2">
      <c r="C29" s="2" t="s">
        <v>47</v>
      </c>
    </row>
    <row r="30" spans="1:23" x14ac:dyDescent="0.2">
      <c r="U30" s="5"/>
      <c r="V30" s="18"/>
      <c r="W30" s="18"/>
    </row>
    <row r="31" spans="1:23" x14ac:dyDescent="0.2">
      <c r="U31" s="5"/>
      <c r="V31" s="5"/>
      <c r="W31" s="5"/>
    </row>
  </sheetData>
  <mergeCells count="4">
    <mergeCell ref="B9:L9"/>
    <mergeCell ref="B11:L11"/>
    <mergeCell ref="B10:L10"/>
    <mergeCell ref="B12:L12"/>
  </mergeCells>
  <phoneticPr fontId="0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W54"/>
  <sheetViews>
    <sheetView showGridLines="0" zoomScale="90" zoomScaleNormal="90" zoomScaleSheetLayoutView="75" workbookViewId="0">
      <pane xSplit="1" ySplit="3" topLeftCell="CV6" activePane="bottomRight" state="frozen"/>
      <selection activeCell="O4" sqref="O4"/>
      <selection pane="topRight" activeCell="O4" sqref="O4"/>
      <selection pane="bottomLeft" activeCell="O4" sqref="O4"/>
      <selection pane="bottomRight" activeCell="CV1" sqref="CV1"/>
    </sheetView>
  </sheetViews>
  <sheetFormatPr defaultColWidth="9.140625" defaultRowHeight="12.75" x14ac:dyDescent="0.2"/>
  <cols>
    <col min="1" max="1" width="31.140625" style="2" customWidth="1"/>
    <col min="2" max="2" width="4.7109375" style="2" customWidth="1"/>
    <col min="3" max="6" width="8.7109375" style="2" customWidth="1"/>
    <col min="7" max="7" width="8.7109375" style="1" customWidth="1"/>
    <col min="8" max="8" width="4.7109375" style="2" customWidth="1"/>
    <col min="9" max="12" width="8.7109375" style="2" customWidth="1"/>
    <col min="13" max="13" width="8.7109375" style="1" customWidth="1"/>
    <col min="14" max="14" width="4.7109375" style="2" customWidth="1"/>
    <col min="15" max="19" width="8.7109375" style="2" customWidth="1"/>
    <col min="20" max="20" width="4.7109375" style="2" customWidth="1"/>
    <col min="21" max="25" width="8.7109375" style="2" customWidth="1"/>
    <col min="26" max="26" width="4.7109375" style="2" customWidth="1"/>
    <col min="27" max="31" width="8.7109375" style="2" customWidth="1"/>
    <col min="32" max="32" width="4.7109375" style="2" customWidth="1"/>
    <col min="33" max="37" width="8.7109375" style="2" customWidth="1"/>
    <col min="38" max="38" width="4.7109375" style="2" customWidth="1"/>
    <col min="39" max="43" width="8.7109375" style="2" customWidth="1"/>
    <col min="44" max="44" width="4.7109375" style="2" customWidth="1"/>
    <col min="45" max="49" width="8.7109375" style="2" customWidth="1"/>
    <col min="50" max="50" width="4.7109375" style="2" customWidth="1"/>
    <col min="51" max="55" width="8.7109375" style="2" customWidth="1"/>
    <col min="56" max="56" width="4.7109375" style="2" customWidth="1"/>
    <col min="57" max="61" width="8.7109375" style="2" customWidth="1"/>
    <col min="62" max="62" width="4.7109375" style="2" customWidth="1"/>
    <col min="63" max="67" width="8.7109375" style="2" customWidth="1"/>
    <col min="68" max="68" width="4.7109375" style="2" customWidth="1"/>
    <col min="69" max="73" width="8.7109375" style="2" customWidth="1"/>
    <col min="74" max="74" width="4.5703125" style="2" customWidth="1"/>
    <col min="75" max="79" width="8.7109375" style="2" customWidth="1"/>
    <col min="80" max="80" width="4.28515625" style="2" customWidth="1"/>
    <col min="81" max="85" width="8.7109375" style="2" customWidth="1"/>
    <col min="86" max="86" width="4.28515625" style="2" customWidth="1"/>
    <col min="87" max="91" width="8.7109375" style="2" customWidth="1"/>
    <col min="92" max="92" width="3.5703125" style="2" customWidth="1"/>
    <col min="93" max="97" width="9.140625" style="2"/>
    <col min="98" max="98" width="3.7109375" style="2" customWidth="1"/>
    <col min="99" max="16384" width="9.140625" style="2"/>
  </cols>
  <sheetData>
    <row r="1" spans="1:127" x14ac:dyDescent="0.2">
      <c r="C1" s="314"/>
      <c r="D1" s="314"/>
      <c r="E1" s="314"/>
      <c r="F1" s="314"/>
      <c r="G1" s="314"/>
      <c r="I1" s="314"/>
      <c r="J1" s="314"/>
      <c r="K1" s="314"/>
      <c r="L1" s="314"/>
      <c r="M1" s="314"/>
      <c r="O1" s="314"/>
      <c r="P1" s="314"/>
      <c r="Q1" s="314"/>
      <c r="R1" s="314"/>
      <c r="S1" s="314"/>
      <c r="U1" s="314"/>
      <c r="V1" s="314"/>
      <c r="W1" s="314"/>
      <c r="X1" s="314"/>
      <c r="Y1" s="314"/>
      <c r="AA1" s="314"/>
      <c r="AB1" s="314"/>
      <c r="AC1" s="314"/>
      <c r="AD1" s="314"/>
      <c r="AE1" s="314"/>
      <c r="AG1" s="314"/>
      <c r="AH1" s="314"/>
      <c r="AI1" s="314"/>
      <c r="AJ1" s="314"/>
      <c r="AK1" s="314"/>
      <c r="AM1" s="314"/>
      <c r="AN1" s="314"/>
      <c r="AO1" s="314"/>
      <c r="AP1" s="314"/>
      <c r="AQ1" s="314"/>
      <c r="AS1" s="314"/>
      <c r="AT1" s="314"/>
      <c r="AU1" s="314"/>
      <c r="AV1" s="314"/>
      <c r="AW1" s="314"/>
      <c r="AY1" s="314"/>
      <c r="AZ1" s="314"/>
      <c r="BA1" s="314"/>
      <c r="BB1" s="314"/>
      <c r="BC1" s="314"/>
      <c r="BE1" s="314"/>
      <c r="BF1" s="314"/>
      <c r="BG1" s="314"/>
      <c r="BH1" s="314"/>
      <c r="BI1" s="314"/>
      <c r="BK1" s="314"/>
      <c r="BL1" s="314"/>
      <c r="BM1" s="314"/>
      <c r="BN1" s="314"/>
      <c r="BO1" s="314"/>
      <c r="BQ1" s="314"/>
      <c r="BR1" s="314"/>
      <c r="BS1" s="314"/>
      <c r="BT1" s="314"/>
      <c r="BU1" s="314"/>
      <c r="BW1" s="312" t="s">
        <v>163</v>
      </c>
      <c r="BX1" s="312"/>
      <c r="BY1" s="312"/>
      <c r="BZ1" s="312"/>
      <c r="CA1" s="312"/>
      <c r="CC1" s="312"/>
      <c r="CD1" s="312"/>
      <c r="CE1" s="312"/>
      <c r="CF1" s="312"/>
      <c r="CG1" s="312"/>
      <c r="CI1" s="312"/>
      <c r="CJ1" s="312"/>
      <c r="CK1" s="312"/>
      <c r="CL1" s="312"/>
      <c r="CM1" s="312"/>
      <c r="DA1" s="312" t="s">
        <v>206</v>
      </c>
      <c r="DB1" s="312"/>
      <c r="DC1" s="312"/>
      <c r="DD1" s="312"/>
      <c r="DE1" s="312"/>
      <c r="DG1" s="312" t="s">
        <v>212</v>
      </c>
      <c r="DH1" s="312"/>
      <c r="DI1" s="312"/>
      <c r="DJ1" s="312"/>
      <c r="DK1" s="312"/>
      <c r="DM1" s="312" t="s">
        <v>215</v>
      </c>
      <c r="DN1" s="312"/>
      <c r="DO1" s="312"/>
      <c r="DP1" s="312"/>
      <c r="DQ1" s="312"/>
      <c r="DS1" s="312" t="s">
        <v>216</v>
      </c>
      <c r="DT1" s="312"/>
      <c r="DU1" s="312"/>
      <c r="DV1" s="312"/>
      <c r="DW1" s="312"/>
    </row>
    <row r="2" spans="1:127" x14ac:dyDescent="0.2">
      <c r="A2" s="1" t="s">
        <v>150</v>
      </c>
      <c r="C2" s="313">
        <v>2005</v>
      </c>
      <c r="D2" s="313"/>
      <c r="E2" s="313"/>
      <c r="F2" s="313"/>
      <c r="G2" s="313"/>
      <c r="I2" s="313">
        <v>2006</v>
      </c>
      <c r="J2" s="313"/>
      <c r="K2" s="313"/>
      <c r="L2" s="313"/>
      <c r="M2" s="313"/>
      <c r="O2" s="313">
        <v>2007</v>
      </c>
      <c r="P2" s="313"/>
      <c r="Q2" s="313"/>
      <c r="R2" s="313"/>
      <c r="S2" s="313"/>
      <c r="U2" s="313">
        <v>2008</v>
      </c>
      <c r="V2" s="313"/>
      <c r="W2" s="313"/>
      <c r="X2" s="313"/>
      <c r="Y2" s="313"/>
      <c r="AA2" s="313">
        <v>2009</v>
      </c>
      <c r="AB2" s="313"/>
      <c r="AC2" s="313"/>
      <c r="AD2" s="313"/>
      <c r="AE2" s="313"/>
      <c r="AG2" s="313">
        <v>2010</v>
      </c>
      <c r="AH2" s="313"/>
      <c r="AI2" s="313"/>
      <c r="AJ2" s="313"/>
      <c r="AK2" s="313"/>
      <c r="AM2" s="313">
        <v>2011</v>
      </c>
      <c r="AN2" s="313"/>
      <c r="AO2" s="313"/>
      <c r="AP2" s="313"/>
      <c r="AQ2" s="313"/>
      <c r="AS2" s="313">
        <v>2012</v>
      </c>
      <c r="AT2" s="313"/>
      <c r="AU2" s="313"/>
      <c r="AV2" s="313"/>
      <c r="AW2" s="313"/>
      <c r="AY2" s="313">
        <v>2013</v>
      </c>
      <c r="AZ2" s="313"/>
      <c r="BA2" s="313"/>
      <c r="BB2" s="313"/>
      <c r="BC2" s="313"/>
      <c r="BE2" s="313">
        <v>2014</v>
      </c>
      <c r="BF2" s="313"/>
      <c r="BG2" s="313"/>
      <c r="BH2" s="313"/>
      <c r="BI2" s="313"/>
      <c r="BK2" s="313">
        <v>2015</v>
      </c>
      <c r="BL2" s="313"/>
      <c r="BM2" s="313"/>
      <c r="BN2" s="313"/>
      <c r="BO2" s="313"/>
      <c r="BQ2" s="313">
        <v>2016</v>
      </c>
      <c r="BR2" s="313"/>
      <c r="BS2" s="313"/>
      <c r="BT2" s="313"/>
      <c r="BU2" s="313"/>
      <c r="BW2" s="313">
        <v>2017</v>
      </c>
      <c r="BX2" s="313"/>
      <c r="BY2" s="313"/>
      <c r="BZ2" s="313"/>
      <c r="CA2" s="313"/>
      <c r="CC2" s="313">
        <v>2018</v>
      </c>
      <c r="CD2" s="313"/>
      <c r="CE2" s="313"/>
      <c r="CF2" s="313"/>
      <c r="CG2" s="313"/>
      <c r="CI2" s="313">
        <v>2019</v>
      </c>
      <c r="CJ2" s="313"/>
      <c r="CK2" s="313"/>
      <c r="CL2" s="313"/>
      <c r="CM2" s="313"/>
      <c r="CO2" s="313">
        <v>2020</v>
      </c>
      <c r="CP2" s="313"/>
      <c r="CQ2" s="313"/>
      <c r="CR2" s="313"/>
      <c r="CS2" s="313"/>
      <c r="CU2" s="313">
        <v>2021</v>
      </c>
      <c r="CV2" s="313"/>
      <c r="CW2" s="313"/>
      <c r="CX2" s="313"/>
      <c r="CY2" s="313"/>
      <c r="DA2" s="313">
        <v>2022</v>
      </c>
      <c r="DB2" s="313"/>
      <c r="DC2" s="313"/>
      <c r="DD2" s="313"/>
      <c r="DE2" s="313"/>
      <c r="DG2" s="313">
        <v>2023</v>
      </c>
      <c r="DH2" s="313"/>
      <c r="DI2" s="313"/>
      <c r="DJ2" s="313"/>
      <c r="DK2" s="313"/>
      <c r="DM2" s="313">
        <v>2024</v>
      </c>
      <c r="DN2" s="313"/>
      <c r="DO2" s="313"/>
      <c r="DP2" s="313"/>
      <c r="DQ2" s="313"/>
      <c r="DS2" s="313">
        <v>2025</v>
      </c>
      <c r="DT2" s="313"/>
      <c r="DU2" s="313"/>
      <c r="DV2" s="313"/>
      <c r="DW2" s="313"/>
    </row>
    <row r="3" spans="1:127" s="126" customFormat="1" x14ac:dyDescent="0.2">
      <c r="A3" s="125" t="s">
        <v>101</v>
      </c>
      <c r="C3" s="128" t="s">
        <v>9</v>
      </c>
      <c r="D3" s="128" t="s">
        <v>10</v>
      </c>
      <c r="E3" s="128" t="s">
        <v>11</v>
      </c>
      <c r="F3" s="128" t="s">
        <v>12</v>
      </c>
      <c r="G3" s="128" t="s">
        <v>13</v>
      </c>
      <c r="I3" s="128" t="s">
        <v>9</v>
      </c>
      <c r="J3" s="128" t="s">
        <v>10</v>
      </c>
      <c r="K3" s="128" t="s">
        <v>11</v>
      </c>
      <c r="L3" s="128" t="s">
        <v>12</v>
      </c>
      <c r="M3" s="128" t="s">
        <v>13</v>
      </c>
      <c r="N3" s="128"/>
      <c r="O3" s="128" t="s">
        <v>9</v>
      </c>
      <c r="P3" s="128" t="s">
        <v>10</v>
      </c>
      <c r="Q3" s="128" t="s">
        <v>11</v>
      </c>
      <c r="R3" s="128" t="s">
        <v>12</v>
      </c>
      <c r="S3" s="128" t="s">
        <v>13</v>
      </c>
      <c r="T3" s="128"/>
      <c r="U3" s="128" t="s">
        <v>9</v>
      </c>
      <c r="V3" s="128" t="s">
        <v>10</v>
      </c>
      <c r="W3" s="128" t="s">
        <v>11</v>
      </c>
      <c r="X3" s="128" t="s">
        <v>12</v>
      </c>
      <c r="Y3" s="128" t="s">
        <v>13</v>
      </c>
      <c r="Z3" s="128"/>
      <c r="AA3" s="128" t="s">
        <v>9</v>
      </c>
      <c r="AB3" s="128" t="s">
        <v>10</v>
      </c>
      <c r="AC3" s="128" t="s">
        <v>11</v>
      </c>
      <c r="AD3" s="128" t="s">
        <v>12</v>
      </c>
      <c r="AE3" s="128" t="s">
        <v>13</v>
      </c>
      <c r="AF3" s="128"/>
      <c r="AG3" s="128" t="s">
        <v>9</v>
      </c>
      <c r="AH3" s="128" t="s">
        <v>10</v>
      </c>
      <c r="AI3" s="128" t="s">
        <v>11</v>
      </c>
      <c r="AJ3" s="128" t="s">
        <v>12</v>
      </c>
      <c r="AK3" s="128" t="s">
        <v>13</v>
      </c>
      <c r="AM3" s="128" t="s">
        <v>9</v>
      </c>
      <c r="AN3" s="128" t="s">
        <v>10</v>
      </c>
      <c r="AO3" s="128" t="s">
        <v>11</v>
      </c>
      <c r="AP3" s="128" t="s">
        <v>12</v>
      </c>
      <c r="AQ3" s="128" t="s">
        <v>13</v>
      </c>
      <c r="AS3" s="128" t="s">
        <v>9</v>
      </c>
      <c r="AT3" s="128" t="s">
        <v>10</v>
      </c>
      <c r="AU3" s="128" t="s">
        <v>11</v>
      </c>
      <c r="AV3" s="128" t="s">
        <v>12</v>
      </c>
      <c r="AW3" s="128" t="s">
        <v>13</v>
      </c>
      <c r="AY3" s="128" t="s">
        <v>9</v>
      </c>
      <c r="AZ3" s="128" t="s">
        <v>10</v>
      </c>
      <c r="BA3" s="128" t="s">
        <v>11</v>
      </c>
      <c r="BB3" s="128" t="s">
        <v>12</v>
      </c>
      <c r="BC3" s="128" t="s">
        <v>13</v>
      </c>
      <c r="BE3" s="128" t="s">
        <v>9</v>
      </c>
      <c r="BF3" s="128" t="s">
        <v>10</v>
      </c>
      <c r="BG3" s="128" t="s">
        <v>11</v>
      </c>
      <c r="BH3" s="128" t="s">
        <v>12</v>
      </c>
      <c r="BI3" s="128" t="s">
        <v>13</v>
      </c>
      <c r="BJ3" s="129"/>
      <c r="BK3" s="128" t="s">
        <v>9</v>
      </c>
      <c r="BL3" s="128" t="s">
        <v>10</v>
      </c>
      <c r="BM3" s="128" t="s">
        <v>11</v>
      </c>
      <c r="BN3" s="128" t="s">
        <v>12</v>
      </c>
      <c r="BO3" s="128" t="s">
        <v>13</v>
      </c>
      <c r="BP3" s="129"/>
      <c r="BQ3" s="128" t="s">
        <v>9</v>
      </c>
      <c r="BR3" s="128" t="s">
        <v>10</v>
      </c>
      <c r="BS3" s="128" t="s">
        <v>11</v>
      </c>
      <c r="BT3" s="128" t="s">
        <v>12</v>
      </c>
      <c r="BU3" s="128" t="s">
        <v>13</v>
      </c>
      <c r="BV3" s="129"/>
      <c r="BW3" s="128" t="s">
        <v>9</v>
      </c>
      <c r="BX3" s="128" t="s">
        <v>10</v>
      </c>
      <c r="BY3" s="128" t="s">
        <v>11</v>
      </c>
      <c r="BZ3" s="128" t="s">
        <v>12</v>
      </c>
      <c r="CA3" s="128" t="s">
        <v>13</v>
      </c>
      <c r="CC3" s="128" t="s">
        <v>9</v>
      </c>
      <c r="CD3" s="128" t="s">
        <v>10</v>
      </c>
      <c r="CE3" s="128" t="s">
        <v>11</v>
      </c>
      <c r="CF3" s="128" t="s">
        <v>12</v>
      </c>
      <c r="CG3" s="128" t="s">
        <v>13</v>
      </c>
      <c r="CI3" s="128" t="s">
        <v>9</v>
      </c>
      <c r="CJ3" s="128" t="s">
        <v>10</v>
      </c>
      <c r="CK3" s="128" t="s">
        <v>11</v>
      </c>
      <c r="CL3" s="128" t="s">
        <v>12</v>
      </c>
      <c r="CM3" s="128" t="s">
        <v>13</v>
      </c>
      <c r="CO3" s="128" t="s">
        <v>9</v>
      </c>
      <c r="CP3" s="128" t="s">
        <v>10</v>
      </c>
      <c r="CQ3" s="128" t="s">
        <v>11</v>
      </c>
      <c r="CR3" s="128" t="s">
        <v>12</v>
      </c>
      <c r="CS3" s="128" t="s">
        <v>13</v>
      </c>
      <c r="CU3" s="128" t="s">
        <v>9</v>
      </c>
      <c r="CV3" s="128" t="s">
        <v>10</v>
      </c>
      <c r="CW3" s="128" t="s">
        <v>11</v>
      </c>
      <c r="CX3" s="128" t="s">
        <v>12</v>
      </c>
      <c r="CY3" s="128" t="s">
        <v>13</v>
      </c>
      <c r="DA3" s="128" t="s">
        <v>9</v>
      </c>
      <c r="DB3" s="128" t="s">
        <v>10</v>
      </c>
      <c r="DC3" s="128" t="s">
        <v>11</v>
      </c>
      <c r="DD3" s="128" t="s">
        <v>12</v>
      </c>
      <c r="DE3" s="128" t="s">
        <v>13</v>
      </c>
      <c r="DG3" s="128" t="s">
        <v>9</v>
      </c>
      <c r="DH3" s="128" t="s">
        <v>10</v>
      </c>
      <c r="DI3" s="128" t="s">
        <v>11</v>
      </c>
      <c r="DJ3" s="128" t="s">
        <v>12</v>
      </c>
      <c r="DK3" s="128" t="s">
        <v>13</v>
      </c>
      <c r="DM3" s="128" t="s">
        <v>9</v>
      </c>
      <c r="DN3" s="128" t="s">
        <v>10</v>
      </c>
      <c r="DO3" s="128" t="s">
        <v>11</v>
      </c>
      <c r="DP3" s="128" t="s">
        <v>12</v>
      </c>
      <c r="DQ3" s="128" t="s">
        <v>13</v>
      </c>
      <c r="DS3" s="128" t="s">
        <v>9</v>
      </c>
      <c r="DT3" s="128" t="s">
        <v>10</v>
      </c>
      <c r="DU3" s="128" t="s">
        <v>11</v>
      </c>
      <c r="DV3" s="128" t="s">
        <v>12</v>
      </c>
      <c r="DW3" s="128" t="s">
        <v>13</v>
      </c>
    </row>
    <row r="4" spans="1:127" x14ac:dyDescent="0.2">
      <c r="G4" s="28"/>
      <c r="M4" s="28"/>
      <c r="S4" s="28"/>
      <c r="Y4" s="28"/>
      <c r="AE4" s="28"/>
      <c r="AK4" s="28"/>
      <c r="AQ4" s="28"/>
      <c r="AW4" s="28"/>
      <c r="BC4" s="28"/>
      <c r="BI4" s="28"/>
      <c r="BO4" s="28"/>
      <c r="BU4" s="28"/>
      <c r="CA4" s="28"/>
      <c r="CG4" s="28"/>
      <c r="CM4" s="28"/>
      <c r="CS4" s="28"/>
      <c r="CY4" s="28"/>
      <c r="DE4" s="28"/>
      <c r="DK4" s="28"/>
      <c r="DQ4" s="28"/>
      <c r="DW4" s="28"/>
    </row>
    <row r="5" spans="1:127" s="34" customFormat="1" ht="18.75" customHeight="1" x14ac:dyDescent="0.2">
      <c r="A5" s="34" t="s">
        <v>123</v>
      </c>
      <c r="C5" s="58">
        <v>250.46979865771812</v>
      </c>
      <c r="D5" s="58">
        <v>307.65100671140937</v>
      </c>
      <c r="E5" s="58">
        <v>299.46308724832215</v>
      </c>
      <c r="F5" s="58">
        <v>316.91275167785233</v>
      </c>
      <c r="G5" s="59">
        <f>SUM(C5:F5)</f>
        <v>1174.4966442953021</v>
      </c>
      <c r="H5" s="58"/>
      <c r="I5" s="58">
        <v>323.75838926174498</v>
      </c>
      <c r="J5" s="58">
        <f>('OLD Segment Data 2005-2019'!J13)/7.45</f>
        <v>51.114814647988837</v>
      </c>
      <c r="K5" s="58">
        <v>362.81879194630869</v>
      </c>
      <c r="L5" s="58">
        <v>384.29530201342283</v>
      </c>
      <c r="M5" s="59">
        <f>SUM(I5:L5)</f>
        <v>1121.9872978694652</v>
      </c>
      <c r="N5" s="58"/>
      <c r="O5" s="58">
        <v>420.13422818791946</v>
      </c>
      <c r="P5" s="58">
        <v>484.83221476510067</v>
      </c>
      <c r="Q5" s="58">
        <v>450.46979865771812</v>
      </c>
      <c r="R5" s="58">
        <v>460</v>
      </c>
      <c r="S5" s="59">
        <f>SUM(O5:R5)</f>
        <v>1815.4362416107383</v>
      </c>
      <c r="T5" s="58"/>
      <c r="U5" s="58">
        <v>451.81208053691273</v>
      </c>
      <c r="V5" s="58">
        <v>508.59060402684565</v>
      </c>
      <c r="W5" s="58">
        <v>473.55704697986579</v>
      </c>
      <c r="X5" s="58">
        <v>422.14765100671138</v>
      </c>
      <c r="Y5" s="59">
        <f>SUM(U5:X5)</f>
        <v>1856.1073825503356</v>
      </c>
      <c r="Z5" s="58"/>
      <c r="AA5" s="58">
        <v>353.69127516778525</v>
      </c>
      <c r="AB5" s="58">
        <v>422.01342281879192</v>
      </c>
      <c r="AC5" s="58">
        <v>400.13422818791946</v>
      </c>
      <c r="AD5" s="58">
        <v>392.88590604026842</v>
      </c>
      <c r="AE5" s="59">
        <f>SUM(AA5:AD5)</f>
        <v>1568.7248322147652</v>
      </c>
      <c r="AF5" s="58"/>
      <c r="AG5" s="58">
        <v>411.00671140939596</v>
      </c>
      <c r="AH5" s="58">
        <v>487.91946308724829</v>
      </c>
      <c r="AI5" s="58">
        <v>500</v>
      </c>
      <c r="AJ5" s="58">
        <v>540.80536912751677</v>
      </c>
      <c r="AK5" s="59">
        <f>SUM(AG5:AJ5)</f>
        <v>1939.7315436241611</v>
      </c>
      <c r="AL5" s="58"/>
      <c r="AM5" s="58">
        <v>506.57718120805367</v>
      </c>
      <c r="AN5" s="58">
        <v>539.06040268456377</v>
      </c>
      <c r="AO5" s="58">
        <v>525.10067114093954</v>
      </c>
      <c r="AP5" s="58">
        <v>523.75838926174492</v>
      </c>
      <c r="AQ5" s="59">
        <f>SUM(AM5:AP5)</f>
        <v>2094.4966442953018</v>
      </c>
      <c r="AR5" s="58"/>
      <c r="AS5" s="58">
        <v>473.95973154362417</v>
      </c>
      <c r="AT5" s="58">
        <v>524.02684563758385</v>
      </c>
      <c r="AU5" s="58">
        <v>512.21476510067112</v>
      </c>
      <c r="AV5" s="58">
        <v>537.18120805369131</v>
      </c>
      <c r="AW5" s="59">
        <f>SUM(AS5:AV5)</f>
        <v>2047.3825503355704</v>
      </c>
      <c r="AX5" s="58"/>
      <c r="AY5" s="58">
        <v>471.00671140939596</v>
      </c>
      <c r="AZ5" s="58">
        <v>542.01342281879192</v>
      </c>
      <c r="BA5" s="58">
        <v>547.24832214765104</v>
      </c>
      <c r="BB5" s="58">
        <v>561.744966442953</v>
      </c>
      <c r="BC5" s="59">
        <f>SUM(AY5:BB5)</f>
        <v>2122.0134228187917</v>
      </c>
      <c r="BD5" s="58"/>
      <c r="BE5" s="58">
        <v>518.79194630872485</v>
      </c>
      <c r="BF5" s="58">
        <v>540.67114093959731</v>
      </c>
      <c r="BG5" s="58">
        <v>529.66442953020135</v>
      </c>
      <c r="BH5" s="58">
        <v>540.13422818791946</v>
      </c>
      <c r="BI5" s="59">
        <f>SUM(BE5:BH5)</f>
        <v>2129.2617449664431</v>
      </c>
      <c r="BJ5" s="58"/>
      <c r="BK5" s="58">
        <v>558.92617449664431</v>
      </c>
      <c r="BL5" s="58">
        <v>600.13422818791946</v>
      </c>
      <c r="BM5" s="58">
        <v>523.489932885906</v>
      </c>
      <c r="BN5" s="58">
        <f>+'OLD Segment Data 2005-2019'!BN13</f>
        <v>541.00000000000011</v>
      </c>
      <c r="BO5" s="59">
        <f>SUM(BK5:BN5)</f>
        <v>2223.55033557047</v>
      </c>
      <c r="BP5" s="58"/>
      <c r="BQ5" s="58">
        <f>+'OLD Segment Data 2005-2019'!BQ13</f>
        <v>485.59999999999997</v>
      </c>
      <c r="BR5" s="58">
        <v>553.20000000000005</v>
      </c>
      <c r="BS5" s="58">
        <v>519</v>
      </c>
      <c r="BT5" s="58">
        <f>+'OLD Segment Data 2005-2019'!BT13</f>
        <v>546.79999999999995</v>
      </c>
      <c r="BU5" s="59">
        <f>SUM(BQ5:BT5)</f>
        <v>2104.6</v>
      </c>
      <c r="BW5" s="58">
        <f>+'OLD Segment Data 2005-2019'!BW13</f>
        <v>550.29999999999995</v>
      </c>
      <c r="BX5" s="58">
        <f>+'OLD Segment Data 2005-2019'!BX13</f>
        <v>681.5</v>
      </c>
      <c r="BY5" s="58">
        <f>+'OLD Segment Data 2005-2019'!BY13</f>
        <v>660.5</v>
      </c>
      <c r="BZ5" s="58">
        <f>+'OLD Segment Data 2005-2019'!BZ13</f>
        <v>388.7</v>
      </c>
      <c r="CA5" s="59">
        <f>SUM(BW5:BZ5)</f>
        <v>2281</v>
      </c>
      <c r="CC5" s="58">
        <f>+'OLD Segment Data 2005-2019'!CC13</f>
        <v>363.5</v>
      </c>
      <c r="CD5" s="58">
        <v>424.7</v>
      </c>
      <c r="CE5" s="58">
        <v>381.8</v>
      </c>
      <c r="CF5" s="58">
        <f>-1170+1501.6</f>
        <v>331.59999999999991</v>
      </c>
      <c r="CG5" s="59">
        <f>SUM(CC5:CF5)</f>
        <v>1501.6</v>
      </c>
      <c r="CI5" s="58">
        <f>+'OLD Segment Data 2005-2019'!CI13</f>
        <v>294.3</v>
      </c>
      <c r="CJ5" s="58">
        <v>355.4</v>
      </c>
      <c r="CK5" s="58">
        <f>+'OLD Segment Data 2005-2019'!CK13</f>
        <v>325.3</v>
      </c>
      <c r="CL5" s="58">
        <f>+'OLD Segment Data 2005-2019'!CL13</f>
        <v>367.4</v>
      </c>
      <c r="CM5" s="59">
        <f>SUM(CI5:CL5)</f>
        <v>1342.4</v>
      </c>
      <c r="CO5" s="58">
        <f>+'Segment Data 2017-2025'!U13</f>
        <v>331.09999999999997</v>
      </c>
      <c r="CP5" s="58">
        <f>+'Segment Data 2017-2025'!V13</f>
        <v>372.40000000000003</v>
      </c>
      <c r="CQ5" s="58">
        <f>+'Segment Data 2017-2025'!W13</f>
        <v>393.09999999999997</v>
      </c>
      <c r="CR5" s="58">
        <f>+'Segment Data 2017-2025'!X13</f>
        <v>373.59999999999997</v>
      </c>
      <c r="CS5" s="59">
        <f>SUM(CO5:CR5)</f>
        <v>1470.1999999999998</v>
      </c>
      <c r="CU5" s="58">
        <f>+'Segment Data 2017-2025'!AA13</f>
        <v>429.59999999999997</v>
      </c>
      <c r="CV5" s="58">
        <f>+'Segment Data 2017-2025'!AB13</f>
        <v>515.6</v>
      </c>
      <c r="CW5" s="58">
        <f>+'Segment Data 2017-2025'!AC13</f>
        <v>498.2</v>
      </c>
      <c r="CX5" s="58">
        <f>+'Segment Data 2017-2025'!AD13</f>
        <v>463.3</v>
      </c>
      <c r="CY5" s="59">
        <f>SUM(CU5:CX5)</f>
        <v>1906.7</v>
      </c>
      <c r="DA5" s="58">
        <f>+'Segment Data 2017-2025'!AG10</f>
        <v>489.5</v>
      </c>
      <c r="DB5" s="58">
        <f>+'Segment Data 2017-2025'!AH10</f>
        <v>578.00000000000011</v>
      </c>
      <c r="DC5" s="58">
        <f>+'Segment Data 2017-2025'!AI10</f>
        <v>492.00000000000006</v>
      </c>
      <c r="DD5" s="58">
        <f>+'Segment Data 2017-2025'!AJ10</f>
        <v>519.5</v>
      </c>
      <c r="DE5" s="59">
        <f>SUM(DA5:DD5)</f>
        <v>2079</v>
      </c>
      <c r="DG5" s="58">
        <f>+'Segment Data 2017-2025'!AM10</f>
        <v>589.5</v>
      </c>
      <c r="DH5" s="58">
        <f>+'Segment Data 2017-2025'!AN10</f>
        <v>631.40000000000009</v>
      </c>
      <c r="DI5" s="58">
        <f>+'Segment Data 2017-2025'!AO10</f>
        <v>661</v>
      </c>
      <c r="DJ5" s="58">
        <f>+'Segment Data 2017-2025'!AP10</f>
        <v>685.30000000000018</v>
      </c>
      <c r="DK5" s="59">
        <f>+SUM(DG5:DJ5)</f>
        <v>2567.2000000000003</v>
      </c>
      <c r="DM5" s="252">
        <f>+'Segment Data 2017-2025'!AS10</f>
        <v>704</v>
      </c>
      <c r="DN5" s="252">
        <f>+'Segment Data 2017-2025'!AT10</f>
        <v>802</v>
      </c>
      <c r="DO5" s="252">
        <f>+'Segment Data 2017-2025'!AU10</f>
        <v>856</v>
      </c>
      <c r="DP5" s="252">
        <f>+'Segment Data 2017-2025'!AV10</f>
        <v>890</v>
      </c>
      <c r="DQ5" s="267">
        <f>+SUM(DM5:DP5)</f>
        <v>3252</v>
      </c>
      <c r="DS5" s="252">
        <f>+'Segment Data 2017-2025'!AY10</f>
        <v>837</v>
      </c>
      <c r="DT5" s="252">
        <f>+'Segment Data 2017-2025'!AZ10</f>
        <v>945</v>
      </c>
      <c r="DU5" s="252">
        <f>+'Segment Data 2017-2025'!BA10</f>
        <v>936</v>
      </c>
      <c r="DV5" s="252">
        <f>+'Segment Data 2017-2025'!BB10</f>
        <v>0</v>
      </c>
      <c r="DW5" s="267">
        <f>+SUM(DS5:DV5)</f>
        <v>2718</v>
      </c>
    </row>
    <row r="6" spans="1:127" ht="6" customHeight="1" x14ac:dyDescent="0.2">
      <c r="C6" s="4"/>
      <c r="D6" s="4"/>
      <c r="E6" s="4"/>
      <c r="F6" s="4"/>
      <c r="G6" s="29"/>
      <c r="I6" s="24"/>
      <c r="J6" s="24"/>
      <c r="K6" s="24"/>
      <c r="L6" s="24"/>
      <c r="M6" s="60"/>
      <c r="O6" s="4"/>
      <c r="P6" s="4"/>
      <c r="Q6" s="4"/>
      <c r="R6" s="4"/>
      <c r="S6" s="29"/>
      <c r="U6" s="4"/>
      <c r="V6" s="4"/>
      <c r="W6" s="4"/>
      <c r="X6" s="4"/>
      <c r="Y6" s="29"/>
      <c r="AA6" s="4"/>
      <c r="AB6" s="4"/>
      <c r="AC6" s="4"/>
      <c r="AD6" s="4"/>
      <c r="AE6" s="29"/>
      <c r="AG6" s="4"/>
      <c r="AH6" s="4"/>
      <c r="AI6" s="4"/>
      <c r="AJ6" s="4"/>
      <c r="AK6" s="29"/>
      <c r="AM6" s="4"/>
      <c r="AN6" s="4"/>
      <c r="AO6" s="4"/>
      <c r="AP6" s="4"/>
      <c r="AQ6" s="29"/>
      <c r="AS6" s="4"/>
      <c r="AT6" s="4"/>
      <c r="AU6" s="4"/>
      <c r="AV6" s="4"/>
      <c r="AW6" s="29"/>
      <c r="AY6" s="4"/>
      <c r="AZ6" s="4"/>
      <c r="BA6" s="4"/>
      <c r="BB6" s="4"/>
      <c r="BC6" s="29"/>
      <c r="BE6" s="4"/>
      <c r="BF6" s="4"/>
      <c r="BG6" s="4"/>
      <c r="BH6" s="4"/>
      <c r="BI6" s="29"/>
      <c r="BK6" s="4"/>
      <c r="BL6" s="4"/>
      <c r="BM6" s="4"/>
      <c r="BN6" s="4"/>
      <c r="BO6" s="29"/>
      <c r="BQ6" s="4"/>
      <c r="BR6" s="4"/>
      <c r="BS6" s="4"/>
      <c r="BT6" s="4"/>
      <c r="BU6" s="29"/>
      <c r="BW6" s="4"/>
      <c r="BX6" s="4"/>
      <c r="BY6" s="4"/>
      <c r="BZ6" s="4"/>
      <c r="CA6" s="29"/>
      <c r="CC6" s="4"/>
      <c r="CD6" s="4"/>
      <c r="CE6" s="4"/>
      <c r="CF6" s="4"/>
      <c r="CG6" s="29"/>
      <c r="CI6" s="4"/>
      <c r="CJ6" s="4"/>
      <c r="CK6" s="4"/>
      <c r="CL6" s="4"/>
      <c r="CM6" s="29"/>
      <c r="CO6" s="4"/>
      <c r="CP6" s="4"/>
      <c r="CQ6" s="4"/>
      <c r="CR6" s="4"/>
      <c r="CS6" s="29"/>
      <c r="CU6" s="4"/>
      <c r="CV6" s="4"/>
      <c r="CW6" s="4"/>
      <c r="CX6" s="4"/>
      <c r="CY6" s="29"/>
      <c r="DA6" s="4"/>
      <c r="DB6" s="4"/>
      <c r="DC6" s="4"/>
      <c r="DD6" s="4"/>
      <c r="DE6" s="29"/>
      <c r="DG6" s="4"/>
      <c r="DH6" s="4"/>
      <c r="DI6" s="4"/>
      <c r="DJ6" s="4"/>
      <c r="DK6" s="29"/>
      <c r="DM6" s="4"/>
      <c r="DN6" s="4"/>
      <c r="DO6" s="4"/>
      <c r="DP6" s="4"/>
      <c r="DQ6" s="29"/>
      <c r="DS6" s="4"/>
      <c r="DT6" s="4"/>
      <c r="DU6" s="4"/>
      <c r="DV6" s="4"/>
      <c r="DW6" s="29"/>
    </row>
    <row r="7" spans="1:127" s="1" customFormat="1" ht="18.75" customHeight="1" x14ac:dyDescent="0.2">
      <c r="A7" s="1" t="s">
        <v>1</v>
      </c>
      <c r="C7" s="61">
        <v>16.778523489932887</v>
      </c>
      <c r="D7" s="61">
        <v>23.355704697986578</v>
      </c>
      <c r="E7" s="61">
        <v>25.503355704697984</v>
      </c>
      <c r="F7" s="61">
        <v>30.067114093959731</v>
      </c>
      <c r="G7" s="60">
        <f>SUM(C7:F7)</f>
        <v>95.704697986577173</v>
      </c>
      <c r="H7" s="61"/>
      <c r="I7" s="61">
        <v>23.624161073825501</v>
      </c>
      <c r="J7" s="61">
        <v>50.067114093959731</v>
      </c>
      <c r="K7" s="61">
        <v>34.228187919463089</v>
      </c>
      <c r="L7" s="61">
        <v>29.261744966442951</v>
      </c>
      <c r="M7" s="60">
        <f>SUM(I7:L7)</f>
        <v>137.18120805369128</v>
      </c>
      <c r="N7" s="61"/>
      <c r="O7" s="61">
        <v>34.36241610738255</v>
      </c>
      <c r="P7" s="61">
        <v>53.288590604026844</v>
      </c>
      <c r="Q7" s="61">
        <v>44.697986577181204</v>
      </c>
      <c r="R7" s="61">
        <v>60</v>
      </c>
      <c r="S7" s="60">
        <f>SUM(O7:R7)</f>
        <v>192.34899328859061</v>
      </c>
      <c r="T7" s="61"/>
      <c r="U7" s="61">
        <v>40.939597315436238</v>
      </c>
      <c r="V7" s="61">
        <v>61.879194630872483</v>
      </c>
      <c r="W7" s="61">
        <v>44.161073825503358</v>
      </c>
      <c r="X7" s="61">
        <v>16.51006711409396</v>
      </c>
      <c r="Y7" s="60">
        <f>SUM(U7:X7)</f>
        <v>163.48993288590606</v>
      </c>
      <c r="Z7" s="61"/>
      <c r="AA7" s="61">
        <v>17.04697986577181</v>
      </c>
      <c r="AB7" s="61">
        <v>31.812080536912752</v>
      </c>
      <c r="AC7" s="61">
        <v>30.201342281879192</v>
      </c>
      <c r="AD7" s="61">
        <v>26.040268456375838</v>
      </c>
      <c r="AE7" s="60">
        <f>SUM(AA7:AD7)</f>
        <v>105.1006711409396</v>
      </c>
      <c r="AF7" s="61"/>
      <c r="AG7" s="61">
        <v>28.590604026845636</v>
      </c>
      <c r="AH7" s="61">
        <v>34.630872483221474</v>
      </c>
      <c r="AI7" s="61">
        <v>33.557046979865774</v>
      </c>
      <c r="AJ7" s="61">
        <v>23.892617449664428</v>
      </c>
      <c r="AK7" s="60">
        <f>SUM(AG7:AJ7)</f>
        <v>120.67114093959731</v>
      </c>
      <c r="AL7" s="61"/>
      <c r="AM7" s="61">
        <v>28.993288590604028</v>
      </c>
      <c r="AN7" s="61">
        <v>28.187919463087248</v>
      </c>
      <c r="AO7" s="61">
        <v>41.879194630872483</v>
      </c>
      <c r="AP7" s="61">
        <v>35.570469798657719</v>
      </c>
      <c r="AQ7" s="60">
        <f>SUM(AM7:AP7)</f>
        <v>134.63087248322148</v>
      </c>
      <c r="AR7" s="61"/>
      <c r="AS7" s="61">
        <v>30.604026845637584</v>
      </c>
      <c r="AT7" s="61">
        <v>30.738255033557046</v>
      </c>
      <c r="AU7" s="61">
        <v>32.080536912751676</v>
      </c>
      <c r="AV7" s="61">
        <v>42.013422818791945</v>
      </c>
      <c r="AW7" s="60">
        <f>SUM(AS7:AV7)</f>
        <v>135.43624161073825</v>
      </c>
      <c r="AX7" s="61"/>
      <c r="AY7" s="61">
        <v>29.127516778523489</v>
      </c>
      <c r="AZ7" s="61">
        <v>37.449664429530202</v>
      </c>
      <c r="BA7" s="61">
        <v>32.348993288590606</v>
      </c>
      <c r="BB7" s="61">
        <v>49.127516778523486</v>
      </c>
      <c r="BC7" s="60">
        <f>SUM(AY7:BB7)</f>
        <v>148.05369127516778</v>
      </c>
      <c r="BD7" s="61"/>
      <c r="BE7" s="61">
        <v>39.73154362416107</v>
      </c>
      <c r="BF7" s="61">
        <v>29.798657718120804</v>
      </c>
      <c r="BG7" s="61">
        <v>30.335570469798657</v>
      </c>
      <c r="BH7" s="61">
        <v>42.550335570469798</v>
      </c>
      <c r="BI7" s="60">
        <f>SUM(BE7:BH7)</f>
        <v>142.41610738255031</v>
      </c>
      <c r="BJ7" s="61"/>
      <c r="BK7" s="61">
        <v>32.885906040268459</v>
      </c>
      <c r="BL7" s="61">
        <v>54.630872483221474</v>
      </c>
      <c r="BM7" s="61">
        <v>32.214765100671137</v>
      </c>
      <c r="BN7" s="61">
        <v>32.299999999999997</v>
      </c>
      <c r="BO7" s="60">
        <f>SUM(BK7:BN7)</f>
        <v>152.03154362416109</v>
      </c>
      <c r="BP7" s="61"/>
      <c r="BQ7" s="61">
        <f>+'OLD Segment Data 2005-2019'!BQ38</f>
        <v>35.900999999999996</v>
      </c>
      <c r="BR7" s="61">
        <v>50.8</v>
      </c>
      <c r="BS7" s="61">
        <v>6.2</v>
      </c>
      <c r="BT7" s="61">
        <f>+'OLD Segment Data 2005-2019'!BT38</f>
        <v>31.799999999999997</v>
      </c>
      <c r="BU7" s="60">
        <f>SUM(BQ7:BT7)</f>
        <v>124.70099999999999</v>
      </c>
      <c r="BV7" s="61"/>
      <c r="BW7" s="61">
        <f>+'OLD Segment Data 2005-2019'!BW38</f>
        <v>32</v>
      </c>
      <c r="BX7" s="61">
        <f>+'OLD Segment Data 2005-2019'!BX38</f>
        <v>71.7</v>
      </c>
      <c r="BY7" s="61">
        <f>+'OLD Segment Data 2005-2019'!BY38</f>
        <v>54.6</v>
      </c>
      <c r="BZ7" s="61">
        <f>+'OLD Segment Data 2005-2019'!BZ38</f>
        <v>21.800000000000008</v>
      </c>
      <c r="CA7" s="60">
        <f>SUM(BW7:BZ7)</f>
        <v>180.10000000000002</v>
      </c>
      <c r="CC7" s="61">
        <f>+'OLD Segment Data 2005-2019'!CC38</f>
        <v>15.8</v>
      </c>
      <c r="CD7" s="61">
        <v>25.6</v>
      </c>
      <c r="CE7" s="61">
        <v>17.8</v>
      </c>
      <c r="CF7" s="61">
        <f>-59.2+49.8</f>
        <v>-9.4000000000000057</v>
      </c>
      <c r="CG7" s="60">
        <f>SUM(CC7:CF7)</f>
        <v>49.8</v>
      </c>
      <c r="CI7" s="61">
        <f>+'OLD Segment Data 2005-2019'!CI38</f>
        <v>0.19999999999999996</v>
      </c>
      <c r="CJ7" s="61">
        <f>+'OLD Segment Data 2005-2019'!CJ38</f>
        <v>9.4</v>
      </c>
      <c r="CK7" s="61">
        <f>+'OLD Segment Data 2005-2019'!CK38</f>
        <v>5.9</v>
      </c>
      <c r="CL7" s="61">
        <f>+'OLD Segment Data 2005-2019'!CL38</f>
        <v>2.2000000000000002</v>
      </c>
      <c r="CM7" s="60">
        <f>SUM(CI7:CL7)</f>
        <v>17.7</v>
      </c>
      <c r="CO7" s="61">
        <f>+'Segment Data 2017-2025'!U40</f>
        <v>7.9999999999999991</v>
      </c>
      <c r="CP7" s="61">
        <f>+'Segment Data 2017-2025'!V40</f>
        <v>6.5000000000000009</v>
      </c>
      <c r="CQ7" s="61">
        <f>+'Segment Data 2017-2025'!W40</f>
        <v>21.4</v>
      </c>
      <c r="CR7" s="61">
        <f>+'Segment Data 2017-2025'!X40</f>
        <v>13.5</v>
      </c>
      <c r="CS7" s="60">
        <f>SUM(CO7:CR7)</f>
        <v>49.4</v>
      </c>
      <c r="CU7" s="61">
        <f>+'Segment Data 2017-2025'!AA40</f>
        <v>30.8</v>
      </c>
      <c r="CV7" s="61">
        <f>+'Segment Data 2017-2025'!AB40</f>
        <v>42.4</v>
      </c>
      <c r="CW7" s="61">
        <f>+'Segment Data 2017-2025'!AC40</f>
        <v>33.500000000000007</v>
      </c>
      <c r="CX7" s="61">
        <f>+'Segment Data 2017-2025'!AD40</f>
        <v>19.200000000000003</v>
      </c>
      <c r="CY7" s="60">
        <f>SUM(CU7:CX7)</f>
        <v>125.90000000000002</v>
      </c>
      <c r="DA7" s="61">
        <f>+'Segment Data 2017-2025'!AG38</f>
        <v>38.799999999999997</v>
      </c>
      <c r="DB7" s="61">
        <f>+'Segment Data 2017-2025'!AH38</f>
        <v>40.9</v>
      </c>
      <c r="DC7" s="61">
        <f>+'Segment Data 2017-2025'!AI38</f>
        <v>35.199999999999996</v>
      </c>
      <c r="DD7" s="61">
        <f>+'Segment Data 2017-2025'!AJ38</f>
        <v>39.700000000000003</v>
      </c>
      <c r="DE7" s="60">
        <f>SUM(DA7:DD7)</f>
        <v>154.59999999999997</v>
      </c>
      <c r="DG7" s="61">
        <f>+'Segment Data 2017-2025'!AM38</f>
        <v>56.9</v>
      </c>
      <c r="DH7" s="61">
        <f>+'Segment Data 2017-2025'!AN38</f>
        <v>58</v>
      </c>
      <c r="DI7" s="61">
        <f>+'Segment Data 2017-2025'!AO38</f>
        <v>76.5</v>
      </c>
      <c r="DJ7" s="61">
        <f>+'Segment Data 2017-2025'!AP30</f>
        <v>63.2</v>
      </c>
      <c r="DK7" s="60">
        <f t="shared" ref="DK7:DK12" si="0">+SUM(DG7:DJ7)</f>
        <v>254.60000000000002</v>
      </c>
      <c r="DM7" s="3">
        <f>+'Segment Data 2017-2025'!AS38</f>
        <v>75</v>
      </c>
      <c r="DN7" s="3">
        <f>+'Segment Data 2017-2025'!AT38</f>
        <v>85</v>
      </c>
      <c r="DO7" s="3">
        <f>+'Segment Data 2017-2025'!AU38</f>
        <v>93</v>
      </c>
      <c r="DP7" s="3">
        <f>+'Segment Data 2017-2025'!AV30</f>
        <v>90</v>
      </c>
      <c r="DQ7" s="29">
        <f t="shared" ref="DQ7" si="1">+SUM(DM7:DP7)</f>
        <v>343</v>
      </c>
      <c r="DS7" s="3">
        <f>+'Segment Data 2017-2025'!AY38</f>
        <v>81</v>
      </c>
      <c r="DT7" s="3">
        <f>+'Segment Data 2017-2025'!AZ38</f>
        <v>105</v>
      </c>
      <c r="DU7" s="3">
        <f>+'Segment Data 2017-2025'!BA38</f>
        <v>119</v>
      </c>
      <c r="DV7" s="3">
        <f>+'Segment Data 2017-2025'!BB30</f>
        <v>0</v>
      </c>
      <c r="DW7" s="29">
        <f t="shared" ref="DW7" si="2">+SUM(DS7:DV7)</f>
        <v>305</v>
      </c>
    </row>
    <row r="8" spans="1:127" x14ac:dyDescent="0.2">
      <c r="A8" s="2" t="s">
        <v>44</v>
      </c>
      <c r="C8" s="24">
        <v>-5.1006711409395971</v>
      </c>
      <c r="D8" s="24">
        <v>-4.6979865771812079</v>
      </c>
      <c r="E8" s="24">
        <v>-4.9664429530201337</v>
      </c>
      <c r="F8" s="24">
        <v>-6.5771812080536911</v>
      </c>
      <c r="G8" s="60">
        <f>SUM(C8:F8)</f>
        <v>-21.34228187919463</v>
      </c>
      <c r="H8" s="24"/>
      <c r="I8" s="24">
        <v>-4.6979865771812079</v>
      </c>
      <c r="J8" s="24">
        <v>-4.2953020134228188</v>
      </c>
      <c r="K8" s="24">
        <v>-4.9664429530201337</v>
      </c>
      <c r="L8" s="24">
        <v>-4.6979865771812079</v>
      </c>
      <c r="M8" s="60">
        <f>SUM(I8:L8)</f>
        <v>-18.65771812080537</v>
      </c>
      <c r="N8" s="24"/>
      <c r="O8" s="24">
        <v>-5.7718120805369129</v>
      </c>
      <c r="P8" s="24">
        <v>-5.6375838926174495</v>
      </c>
      <c r="Q8" s="24">
        <v>-7.5167785234899327</v>
      </c>
      <c r="R8" s="24">
        <v>-6.8456375838926169</v>
      </c>
      <c r="S8" s="60">
        <f>SUM(O8:R8)</f>
        <v>-25.771812080536911</v>
      </c>
      <c r="T8" s="24"/>
      <c r="U8" s="24">
        <v>-7.2483221476510069</v>
      </c>
      <c r="V8" s="24">
        <v>-7.3825503355704694</v>
      </c>
      <c r="W8" s="24">
        <v>-7.9194630872483218</v>
      </c>
      <c r="X8" s="24">
        <v>-7.2483221476510069</v>
      </c>
      <c r="Y8" s="60">
        <f>SUM(U8:X8)</f>
        <v>-29.798657718120804</v>
      </c>
      <c r="Z8" s="24"/>
      <c r="AA8" s="24">
        <v>-7.9194630872483218</v>
      </c>
      <c r="AB8" s="24">
        <v>-8.0536912751677843</v>
      </c>
      <c r="AC8" s="24">
        <v>-8.4563758389261743</v>
      </c>
      <c r="AD8" s="24">
        <v>-8.1879194630872476</v>
      </c>
      <c r="AE8" s="60">
        <f>SUM(AA8:AD8)</f>
        <v>-32.617449664429529</v>
      </c>
      <c r="AF8" s="24"/>
      <c r="AG8" s="24">
        <v>-8.3221476510067109</v>
      </c>
      <c r="AH8" s="24">
        <v>-8.9932885906040259</v>
      </c>
      <c r="AI8" s="24">
        <v>-9.3959731543624159</v>
      </c>
      <c r="AJ8" s="24">
        <v>-10.738255033557047</v>
      </c>
      <c r="AK8" s="60">
        <f>SUM(AG8:AJ8)</f>
        <v>-37.449664429530202</v>
      </c>
      <c r="AL8" s="24"/>
      <c r="AM8" s="24">
        <v>-10.872483221476509</v>
      </c>
      <c r="AN8" s="24">
        <v>-10.738255033557047</v>
      </c>
      <c r="AO8" s="24">
        <v>-11.677852348993289</v>
      </c>
      <c r="AP8" s="24">
        <v>-11.812080536912751</v>
      </c>
      <c r="AQ8" s="60">
        <f>SUM(AM8:AP8)</f>
        <v>-45.100671140939596</v>
      </c>
      <c r="AR8" s="24"/>
      <c r="AS8" s="24">
        <v>-11.543624161073826</v>
      </c>
      <c r="AT8" s="24">
        <v>-11.812080536912751</v>
      </c>
      <c r="AU8" s="24">
        <v>-12.080536912751677</v>
      </c>
      <c r="AV8" s="24">
        <v>-12.885906040268456</v>
      </c>
      <c r="AW8" s="60">
        <f>SUM(AS8:AV8)</f>
        <v>-48.322147651006702</v>
      </c>
      <c r="AX8" s="24"/>
      <c r="AY8" s="24">
        <v>-11.677852348993289</v>
      </c>
      <c r="AZ8" s="24">
        <v>-11.409395973154362</v>
      </c>
      <c r="BA8" s="24">
        <v>-12.483221476510067</v>
      </c>
      <c r="BB8" s="24">
        <v>-12.080536912751677</v>
      </c>
      <c r="BC8" s="60">
        <f>SUM(AY8:BB8)</f>
        <v>-47.651006711409394</v>
      </c>
      <c r="BD8" s="24"/>
      <c r="BE8" s="24">
        <v>-12.080536912751677</v>
      </c>
      <c r="BF8" s="24">
        <v>-11.812080536912751</v>
      </c>
      <c r="BG8" s="24">
        <v>-11.543624161073826</v>
      </c>
      <c r="BH8" s="24">
        <v>-12.617449664429531</v>
      </c>
      <c r="BI8" s="60">
        <f>SUM(BE8:BH8)</f>
        <v>-48.053691275167779</v>
      </c>
      <c r="BJ8" s="24"/>
      <c r="BK8" s="24">
        <v>-12.080536912751677</v>
      </c>
      <c r="BL8" s="24">
        <v>-12.483221476510067</v>
      </c>
      <c r="BM8" s="24">
        <v>-12.214765100671141</v>
      </c>
      <c r="BN8" s="24">
        <v>-12.3</v>
      </c>
      <c r="BO8" s="60">
        <f>SUM(BK8:BN8)</f>
        <v>-49.078523489932877</v>
      </c>
      <c r="BP8" s="24"/>
      <c r="BQ8" s="24">
        <v>-11.7</v>
      </c>
      <c r="BR8" s="24">
        <v>-12</v>
      </c>
      <c r="BS8" s="24">
        <v>-11.7</v>
      </c>
      <c r="BT8" s="24">
        <v>-11.3</v>
      </c>
      <c r="BU8" s="60">
        <f>SUM(BQ8:BT8)</f>
        <v>-46.7</v>
      </c>
      <c r="BV8" s="24"/>
      <c r="BW8" s="24">
        <v>-9.1999999999999993</v>
      </c>
      <c r="BX8" s="24">
        <v>-16.2</v>
      </c>
      <c r="BY8" s="24">
        <v>-17.7</v>
      </c>
      <c r="BZ8" s="24">
        <f>43.1-61.3+0.9</f>
        <v>-17.299999999999997</v>
      </c>
      <c r="CA8" s="60">
        <f>SUM(BW8:BZ8)</f>
        <v>-60.399999999999991</v>
      </c>
      <c r="CC8" s="24">
        <v>-16.399999999999999</v>
      </c>
      <c r="CD8" s="24">
        <v>-16</v>
      </c>
      <c r="CE8" s="24">
        <v>-16</v>
      </c>
      <c r="CF8" s="24">
        <f>-66.4+48.4</f>
        <v>-18.000000000000007</v>
      </c>
      <c r="CG8" s="60">
        <f>SUM(CC8:CF8)</f>
        <v>-66.400000000000006</v>
      </c>
      <c r="CI8" s="24">
        <f>-15.9-1.4</f>
        <v>-17.3</v>
      </c>
      <c r="CJ8" s="24">
        <f>-16-1.4</f>
        <v>-17.399999999999999</v>
      </c>
      <c r="CK8" s="24">
        <f>-16.4-1.3</f>
        <v>-17.7</v>
      </c>
      <c r="CL8" s="24">
        <f>-21.5-1.2</f>
        <v>-22.7</v>
      </c>
      <c r="CM8" s="60">
        <f>SUM(CI8:CL8)</f>
        <v>-75.100000000000009</v>
      </c>
      <c r="CN8" s="151"/>
      <c r="CO8" s="24">
        <v>-17.8</v>
      </c>
      <c r="CP8" s="24">
        <v>-17.100000000000001</v>
      </c>
      <c r="CQ8" s="24">
        <v>-16.899999999999999</v>
      </c>
      <c r="CR8" s="24">
        <v>-18.7</v>
      </c>
      <c r="CS8" s="60">
        <f>SUM(CO8:CR8)</f>
        <v>-70.5</v>
      </c>
      <c r="CT8" s="151"/>
      <c r="CU8" s="24">
        <v>-17.2</v>
      </c>
      <c r="CV8" s="24">
        <v>-17.3</v>
      </c>
      <c r="CW8" s="24">
        <v>-19.7</v>
      </c>
      <c r="CX8" s="24">
        <v>-20.7</v>
      </c>
      <c r="CY8" s="60">
        <f>SUM(CU8:CX8)</f>
        <v>-74.900000000000006</v>
      </c>
      <c r="DA8" s="24">
        <v>-15.3</v>
      </c>
      <c r="DB8" s="24">
        <v>-15.9</v>
      </c>
      <c r="DC8" s="24">
        <v>-15.2</v>
      </c>
      <c r="DD8" s="24">
        <v>-16.3</v>
      </c>
      <c r="DE8" s="60">
        <f>SUM(DA8:DD8)</f>
        <v>-62.7</v>
      </c>
      <c r="DG8" s="24">
        <v>-17</v>
      </c>
      <c r="DH8" s="24">
        <v>-17.2</v>
      </c>
      <c r="DI8" s="24">
        <v>-18.399999999999999</v>
      </c>
      <c r="DJ8" s="24">
        <f>+DK8-SUM(DG8:DI8)</f>
        <v>-18.499999999999993</v>
      </c>
      <c r="DK8" s="60">
        <v>-71.099999999999994</v>
      </c>
      <c r="DM8" s="4">
        <v>-18</v>
      </c>
      <c r="DN8" s="4">
        <v>-19</v>
      </c>
      <c r="DO8" s="4">
        <v>-21</v>
      </c>
      <c r="DP8" s="4">
        <v>-24</v>
      </c>
      <c r="DQ8" s="29">
        <f>+DM8+DN8+DO8+DP8</f>
        <v>-82</v>
      </c>
      <c r="DS8" s="4">
        <v>-24</v>
      </c>
      <c r="DT8" s="4">
        <v>-28</v>
      </c>
      <c r="DU8" s="4">
        <v>-27</v>
      </c>
      <c r="DV8" s="4"/>
      <c r="DW8" s="29">
        <f>+DS8+DT8+DU8+DV8</f>
        <v>-79</v>
      </c>
    </row>
    <row r="9" spans="1:127" x14ac:dyDescent="0.2">
      <c r="A9" s="2" t="s">
        <v>86</v>
      </c>
      <c r="C9" s="24">
        <v>-1.7449664429530201</v>
      </c>
      <c r="D9" s="24">
        <v>-1.8791946308724832</v>
      </c>
      <c r="E9" s="24">
        <v>-1.8791946308724832</v>
      </c>
      <c r="F9" s="24">
        <v>-2.9530201342281877</v>
      </c>
      <c r="G9" s="60">
        <f>SUM(C9:F9)</f>
        <v>-8.4563758389261743</v>
      </c>
      <c r="H9" s="24"/>
      <c r="I9" s="24">
        <v>-2.2818791946308723</v>
      </c>
      <c r="J9" s="24">
        <v>-2.2818791946308723</v>
      </c>
      <c r="K9" s="24">
        <v>-2.1476510067114094</v>
      </c>
      <c r="L9" s="24">
        <v>-2.0134228187919461</v>
      </c>
      <c r="M9" s="60">
        <f>SUM(I9:L9)</f>
        <v>-8.724832214765101</v>
      </c>
      <c r="N9" s="24"/>
      <c r="O9" s="24">
        <v>-2.9530201342281877</v>
      </c>
      <c r="P9" s="24">
        <v>-3.2214765100671139</v>
      </c>
      <c r="Q9" s="24">
        <v>-3.8926174496644292</v>
      </c>
      <c r="R9" s="24">
        <v>-4.4295302013422821</v>
      </c>
      <c r="S9" s="60">
        <f>SUM(O9:R9)</f>
        <v>-14.496644295302012</v>
      </c>
      <c r="T9" s="24"/>
      <c r="U9" s="24">
        <v>-3.3557046979865772</v>
      </c>
      <c r="V9" s="24">
        <v>-3.8926174496644292</v>
      </c>
      <c r="W9" s="24">
        <v>-3.8926174496644292</v>
      </c>
      <c r="X9" s="24">
        <v>-5.6375838926174495</v>
      </c>
      <c r="Y9" s="60">
        <f>SUM(U9:X9)</f>
        <v>-16.778523489932887</v>
      </c>
      <c r="Z9" s="24"/>
      <c r="AA9" s="24">
        <v>-4.2953020134228188</v>
      </c>
      <c r="AB9" s="24">
        <v>-4.1610738255033555</v>
      </c>
      <c r="AC9" s="24">
        <v>-4.1610738255033555</v>
      </c>
      <c r="AD9" s="24">
        <v>-4.0268456375838921</v>
      </c>
      <c r="AE9" s="60">
        <f>SUM(AA9:AD9)</f>
        <v>-16.644295302013422</v>
      </c>
      <c r="AF9" s="24"/>
      <c r="AG9" s="24">
        <v>-4.1610738255033555</v>
      </c>
      <c r="AH9" s="24">
        <v>-4.1610738255033555</v>
      </c>
      <c r="AI9" s="24">
        <v>-4.2953020134228188</v>
      </c>
      <c r="AJ9" s="24">
        <v>-6.174496644295302</v>
      </c>
      <c r="AK9" s="60">
        <f>SUM(AG9:AJ9)</f>
        <v>-18.791946308724832</v>
      </c>
      <c r="AL9" s="24"/>
      <c r="AM9" s="24">
        <v>-5.1006711409395971</v>
      </c>
      <c r="AN9" s="24">
        <v>-4.5637583892617446</v>
      </c>
      <c r="AO9" s="24">
        <v>-5.3691275167785237</v>
      </c>
      <c r="AP9" s="24">
        <v>-5.6375838926174495</v>
      </c>
      <c r="AQ9" s="60">
        <f>SUM(AM9:AP9)</f>
        <v>-20.671140939597315</v>
      </c>
      <c r="AR9" s="24"/>
      <c r="AS9" s="24">
        <v>-5.2348993288590604</v>
      </c>
      <c r="AT9" s="24">
        <v>-5.6375838926174495</v>
      </c>
      <c r="AU9" s="24">
        <v>-6.3087248322147653</v>
      </c>
      <c r="AV9" s="24">
        <v>-5.6375838926174495</v>
      </c>
      <c r="AW9" s="60">
        <f>SUM(AS9:AV9)</f>
        <v>-22.818791946308725</v>
      </c>
      <c r="AX9" s="24"/>
      <c r="AY9" s="24">
        <v>-5.6375838926174495</v>
      </c>
      <c r="AZ9" s="24">
        <v>-6.0402684563758386</v>
      </c>
      <c r="BA9" s="24">
        <v>-5.7718120805369129</v>
      </c>
      <c r="BB9" s="24">
        <v>-5.9060402684563753</v>
      </c>
      <c r="BC9" s="60">
        <f>SUM(AY9:BB9)</f>
        <v>-23.355704697986578</v>
      </c>
      <c r="BD9" s="24"/>
      <c r="BE9" s="24">
        <v>-6.0402684563758386</v>
      </c>
      <c r="BF9" s="24">
        <v>-6.4429530201342278</v>
      </c>
      <c r="BG9" s="24">
        <v>-5.7718120805369129</v>
      </c>
      <c r="BH9" s="24">
        <f>(136-178)/7.45</f>
        <v>-5.6375838926174495</v>
      </c>
      <c r="BI9" s="60">
        <f>SUM(BE9:BH9)</f>
        <v>-23.892617449664428</v>
      </c>
      <c r="BJ9" s="24"/>
      <c r="BK9" s="24">
        <v>-6.3087248322147653</v>
      </c>
      <c r="BL9" s="24">
        <v>-6.8456375838926169</v>
      </c>
      <c r="BM9" s="24">
        <v>-7.3825503355704694</v>
      </c>
      <c r="BN9" s="24">
        <v>-7.3</v>
      </c>
      <c r="BO9" s="60">
        <f>SUM(BK9:BN9)</f>
        <v>-27.836912751677854</v>
      </c>
      <c r="BP9" s="24"/>
      <c r="BQ9" s="24">
        <v>-8</v>
      </c>
      <c r="BR9" s="24">
        <v>-8.5</v>
      </c>
      <c r="BS9" s="24">
        <v>-8.6</v>
      </c>
      <c r="BT9" s="24">
        <v>-9.3000000000000007</v>
      </c>
      <c r="BU9" s="60">
        <f>SUM(BQ9:BT9)</f>
        <v>-34.400000000000006</v>
      </c>
      <c r="BV9" s="24"/>
      <c r="BW9" s="24">
        <v>-2.5</v>
      </c>
      <c r="BX9" s="24">
        <v>-3.3</v>
      </c>
      <c r="BY9" s="24">
        <v>-6.3</v>
      </c>
      <c r="BZ9" s="24">
        <f>12.1-18.3</f>
        <v>-6.2000000000000011</v>
      </c>
      <c r="CA9" s="60">
        <f>SUM(BW9:BZ9)</f>
        <v>-18.3</v>
      </c>
      <c r="CC9" s="24">
        <v>-5</v>
      </c>
      <c r="CD9" s="24">
        <v>-5.3</v>
      </c>
      <c r="CE9" s="24">
        <v>-4.8</v>
      </c>
      <c r="CF9" s="24">
        <f>-20.9+15.1</f>
        <v>-5.7999999999999989</v>
      </c>
      <c r="CG9" s="60">
        <f>SUM(CC9:CF9)</f>
        <v>-20.9</v>
      </c>
      <c r="CI9" s="24">
        <v>-5.5</v>
      </c>
      <c r="CJ9" s="24">
        <v>-5.3</v>
      </c>
      <c r="CK9" s="24">
        <v>-5.2</v>
      </c>
      <c r="CL9" s="24">
        <v>-9.6</v>
      </c>
      <c r="CM9" s="60">
        <f>SUM(CI9:CL9)</f>
        <v>-25.6</v>
      </c>
      <c r="CN9" s="151"/>
      <c r="CO9" s="24">
        <v>-5.4</v>
      </c>
      <c r="CP9" s="24">
        <v>-5.5</v>
      </c>
      <c r="CQ9" s="24">
        <v>-6.4</v>
      </c>
      <c r="CR9" s="24">
        <v>-9.5</v>
      </c>
      <c r="CS9" s="60">
        <f>SUM(CO9:CR9)</f>
        <v>-26.8</v>
      </c>
      <c r="CT9" s="151"/>
      <c r="CU9" s="24">
        <v>-7.5</v>
      </c>
      <c r="CV9" s="24">
        <v>-7.6</v>
      </c>
      <c r="CW9" s="24">
        <v>-7.5</v>
      </c>
      <c r="CX9" s="24">
        <v>-11.6</v>
      </c>
      <c r="CY9" s="60">
        <f>SUM(CU9:CX9)</f>
        <v>-34.200000000000003</v>
      </c>
      <c r="DA9" s="24">
        <v>-4.3</v>
      </c>
      <c r="DB9" s="24">
        <v>-4.3</v>
      </c>
      <c r="DC9" s="24">
        <v>-4.2</v>
      </c>
      <c r="DD9" s="24">
        <v>-9.9</v>
      </c>
      <c r="DE9" s="60">
        <f>SUM(DA9:DD9)</f>
        <v>-22.700000000000003</v>
      </c>
      <c r="DG9" s="24">
        <v>-5.4</v>
      </c>
      <c r="DH9" s="24">
        <v>-4.4000000000000004</v>
      </c>
      <c r="DI9" s="24">
        <v>-4.3</v>
      </c>
      <c r="DJ9" s="24">
        <f>+DK9-SUM(DG9:DI9)</f>
        <v>-4.2999999999999972</v>
      </c>
      <c r="DK9" s="60">
        <v>-18.399999999999999</v>
      </c>
      <c r="DM9" s="4">
        <v>-4</v>
      </c>
      <c r="DN9" s="4">
        <v>-5</v>
      </c>
      <c r="DO9" s="4">
        <v>-6</v>
      </c>
      <c r="DP9" s="4">
        <v>-6</v>
      </c>
      <c r="DQ9" s="29">
        <f>+DM9+DN9+DO9+DP9</f>
        <v>-21</v>
      </c>
      <c r="DS9" s="4">
        <v>-6</v>
      </c>
      <c r="DT9" s="4">
        <v>-6</v>
      </c>
      <c r="DU9" s="4">
        <v>-5</v>
      </c>
      <c r="DV9" s="4"/>
      <c r="DW9" s="29">
        <f>+DS9+DT9+DU9+DV9</f>
        <v>-17</v>
      </c>
    </row>
    <row r="10" spans="1:127" s="36" customFormat="1" x14ac:dyDescent="0.2">
      <c r="A10" s="36" t="s">
        <v>90</v>
      </c>
      <c r="C10" s="62">
        <v>0</v>
      </c>
      <c r="D10" s="62"/>
      <c r="E10" s="62"/>
      <c r="F10" s="62"/>
      <c r="G10" s="63">
        <f>SUM(C10:F10)</f>
        <v>0</v>
      </c>
      <c r="H10" s="62"/>
      <c r="I10" s="62"/>
      <c r="J10" s="62"/>
      <c r="K10" s="62"/>
      <c r="L10" s="62"/>
      <c r="M10" s="63">
        <f>SUM(I10:L10)</f>
        <v>0</v>
      </c>
      <c r="N10" s="62"/>
      <c r="O10" s="62"/>
      <c r="P10" s="62"/>
      <c r="Q10" s="62"/>
      <c r="R10" s="62"/>
      <c r="S10" s="63">
        <f>SUM(O10:R10)</f>
        <v>0</v>
      </c>
      <c r="T10" s="62"/>
      <c r="U10" s="62">
        <v>0</v>
      </c>
      <c r="V10" s="62">
        <v>0</v>
      </c>
      <c r="W10" s="62">
        <v>0</v>
      </c>
      <c r="X10" s="62">
        <v>-7.1140939597315436</v>
      </c>
      <c r="Y10" s="63">
        <f>SUM(U10:X10)</f>
        <v>-7.1140939597315436</v>
      </c>
      <c r="Z10" s="62"/>
      <c r="AA10" s="62">
        <v>0</v>
      </c>
      <c r="AB10" s="62">
        <v>0</v>
      </c>
      <c r="AC10" s="62">
        <v>0</v>
      </c>
      <c r="AD10" s="62">
        <v>0</v>
      </c>
      <c r="AE10" s="63">
        <f>SUM(AA10:AD10)</f>
        <v>0</v>
      </c>
      <c r="AF10" s="62"/>
      <c r="AG10" s="62">
        <v>0</v>
      </c>
      <c r="AH10" s="62">
        <v>0</v>
      </c>
      <c r="AI10" s="62">
        <v>0</v>
      </c>
      <c r="AJ10" s="62">
        <v>0</v>
      </c>
      <c r="AK10" s="63">
        <f>SUM(AG10:AJ10)</f>
        <v>0</v>
      </c>
      <c r="AL10" s="62"/>
      <c r="AM10" s="62">
        <v>0</v>
      </c>
      <c r="AN10" s="62">
        <v>0</v>
      </c>
      <c r="AO10" s="62">
        <v>0</v>
      </c>
      <c r="AP10" s="62">
        <v>-9.1275167785234892</v>
      </c>
      <c r="AQ10" s="63">
        <f>SUM(AM10:AP10)</f>
        <v>-9.1275167785234892</v>
      </c>
      <c r="AR10" s="62"/>
      <c r="AS10" s="62">
        <v>0</v>
      </c>
      <c r="AT10" s="62">
        <v>0</v>
      </c>
      <c r="AU10" s="62">
        <v>0</v>
      </c>
      <c r="AV10" s="62">
        <v>-0.80536912751677847</v>
      </c>
      <c r="AW10" s="63">
        <f>SUM(AS10:AV10)</f>
        <v>-0.80536912751677847</v>
      </c>
      <c r="AX10" s="62"/>
      <c r="AY10" s="62">
        <v>0</v>
      </c>
      <c r="AZ10" s="62">
        <v>0</v>
      </c>
      <c r="BA10" s="62">
        <v>0</v>
      </c>
      <c r="BB10" s="62">
        <v>-8.8590604026845643</v>
      </c>
      <c r="BC10" s="63">
        <f>SUM(AY10:BB10)</f>
        <v>-8.8590604026845643</v>
      </c>
      <c r="BD10" s="62"/>
      <c r="BE10" s="62">
        <v>0</v>
      </c>
      <c r="BF10" s="62">
        <v>0</v>
      </c>
      <c r="BG10" s="62">
        <v>0</v>
      </c>
      <c r="BH10" s="62">
        <v>-2.6845637583892619</v>
      </c>
      <c r="BI10" s="63">
        <f>SUM(BE10:BH10)</f>
        <v>-2.6845637583892619</v>
      </c>
      <c r="BJ10" s="62"/>
      <c r="BK10" s="62">
        <v>0</v>
      </c>
      <c r="BL10" s="62">
        <v>-37.181208053691272</v>
      </c>
      <c r="BM10" s="62">
        <v>0.93959731543624159</v>
      </c>
      <c r="BN10" s="62">
        <v>-0.8</v>
      </c>
      <c r="BO10" s="63">
        <f>SUM(BK10:BN10)</f>
        <v>-37.041610738255031</v>
      </c>
      <c r="BP10" s="62"/>
      <c r="BQ10" s="62">
        <v>0</v>
      </c>
      <c r="BR10" s="62">
        <v>0</v>
      </c>
      <c r="BS10" s="62">
        <v>-6.7</v>
      </c>
      <c r="BT10" s="62">
        <v>3.4</v>
      </c>
      <c r="BU10" s="63">
        <f>SUM(BQ10:BT10)</f>
        <v>-3.3000000000000003</v>
      </c>
      <c r="BV10" s="62"/>
      <c r="BW10" s="62">
        <v>0</v>
      </c>
      <c r="BX10" s="62">
        <v>0</v>
      </c>
      <c r="BY10" s="62">
        <v>0</v>
      </c>
      <c r="BZ10" s="62">
        <v>-0.9</v>
      </c>
      <c r="CA10" s="63">
        <f>SUM(BW10:BZ10)</f>
        <v>-0.9</v>
      </c>
      <c r="CC10" s="62">
        <v>0</v>
      </c>
      <c r="CD10" s="62">
        <v>0</v>
      </c>
      <c r="CE10" s="62">
        <v>0</v>
      </c>
      <c r="CF10" s="62">
        <v>0</v>
      </c>
      <c r="CG10" s="63">
        <f>SUM(CC10:CF10)</f>
        <v>0</v>
      </c>
      <c r="CI10" s="62">
        <v>0</v>
      </c>
      <c r="CJ10" s="62">
        <v>0</v>
      </c>
      <c r="CK10" s="62">
        <v>0</v>
      </c>
      <c r="CL10" s="62">
        <v>0</v>
      </c>
      <c r="CM10" s="63">
        <f>SUM(CI10:CL10)</f>
        <v>0</v>
      </c>
      <c r="CO10" s="62">
        <v>0</v>
      </c>
      <c r="CP10" s="62">
        <v>0</v>
      </c>
      <c r="CQ10" s="62">
        <v>0</v>
      </c>
      <c r="CR10" s="62">
        <v>0</v>
      </c>
      <c r="CS10" s="63">
        <f>SUM(CO10:CR10)</f>
        <v>0</v>
      </c>
      <c r="CU10" s="62">
        <v>0</v>
      </c>
      <c r="CV10" s="62">
        <v>0</v>
      </c>
      <c r="CW10" s="62">
        <v>0</v>
      </c>
      <c r="CX10" s="62">
        <v>0</v>
      </c>
      <c r="CY10" s="63">
        <f>SUM(CU10:CX10)</f>
        <v>0</v>
      </c>
      <c r="DA10" s="62">
        <v>0</v>
      </c>
      <c r="DB10" s="62">
        <v>0</v>
      </c>
      <c r="DC10" s="62">
        <v>0</v>
      </c>
      <c r="DD10" s="62">
        <v>0</v>
      </c>
      <c r="DE10" s="63">
        <f>SUM(DA10:DD10)</f>
        <v>0</v>
      </c>
      <c r="DG10" s="62">
        <v>0</v>
      </c>
      <c r="DH10" s="62">
        <v>0</v>
      </c>
      <c r="DI10" s="62">
        <v>0</v>
      </c>
      <c r="DJ10" s="62">
        <f>+DK10-SUM(DG10:DI10)</f>
        <v>-0.7</v>
      </c>
      <c r="DK10" s="63">
        <v>-0.7</v>
      </c>
      <c r="DM10" s="242">
        <v>0</v>
      </c>
      <c r="DN10" s="242">
        <v>0</v>
      </c>
      <c r="DO10" s="242">
        <v>0</v>
      </c>
      <c r="DP10" s="242"/>
      <c r="DQ10" s="256">
        <f>+DM10+DN10+DO10</f>
        <v>0</v>
      </c>
      <c r="DS10" s="242">
        <v>0</v>
      </c>
      <c r="DT10" s="242">
        <v>0</v>
      </c>
      <c r="DU10" s="242">
        <v>0</v>
      </c>
      <c r="DV10" s="242"/>
      <c r="DW10" s="256">
        <f>+DS10+DT10+DU10</f>
        <v>0</v>
      </c>
    </row>
    <row r="11" spans="1:127" s="1" customFormat="1" ht="18.75" customHeight="1" x14ac:dyDescent="0.2">
      <c r="A11" s="1" t="s">
        <v>2</v>
      </c>
      <c r="C11" s="61">
        <f>SUM(C7:C10)</f>
        <v>9.932885906040271</v>
      </c>
      <c r="D11" s="61">
        <f>SUM(D7:D10)</f>
        <v>16.778523489932887</v>
      </c>
      <c r="E11" s="61">
        <f>SUM(E7:E10)</f>
        <v>18.657718120805367</v>
      </c>
      <c r="F11" s="61">
        <f>SUM(F7:F10)</f>
        <v>20.536912751677853</v>
      </c>
      <c r="G11" s="60">
        <f>SUM(G7:G10)</f>
        <v>65.906040268456366</v>
      </c>
      <c r="H11" s="61"/>
      <c r="I11" s="61">
        <f>SUM(I7:I10)</f>
        <v>16.644295302013422</v>
      </c>
      <c r="J11" s="61">
        <f>SUM(J7:J10)</f>
        <v>43.489932885906036</v>
      </c>
      <c r="K11" s="61">
        <f>SUM(K7:K10)</f>
        <v>27.114093959731544</v>
      </c>
      <c r="L11" s="61">
        <f>SUM(L7:L10)</f>
        <v>22.550335570469798</v>
      </c>
      <c r="M11" s="60">
        <f>SUM(M7:M10)</f>
        <v>109.79865771812081</v>
      </c>
      <c r="N11" s="61"/>
      <c r="O11" s="61">
        <f>SUM(O7:O10)</f>
        <v>25.637583892617453</v>
      </c>
      <c r="P11" s="61">
        <f>SUM(P7:P10)</f>
        <v>44.429530201342281</v>
      </c>
      <c r="Q11" s="61">
        <f>SUM(Q7:Q10)</f>
        <v>33.288590604026844</v>
      </c>
      <c r="R11" s="61">
        <f>SUM(R7:R10)</f>
        <v>48.724832214765101</v>
      </c>
      <c r="S11" s="60">
        <f>SUM(S7:S10)</f>
        <v>152.08053691275168</v>
      </c>
      <c r="T11" s="61"/>
      <c r="U11" s="61">
        <f>SUM(U7:U10)</f>
        <v>30.33557046979865</v>
      </c>
      <c r="V11" s="61">
        <f>SUM(V7:V10)</f>
        <v>50.604026845637584</v>
      </c>
      <c r="W11" s="61">
        <f>SUM(W7:W10)</f>
        <v>32.348993288590606</v>
      </c>
      <c r="X11" s="61">
        <f>SUM(X7:X10)</f>
        <v>-3.4899328859060388</v>
      </c>
      <c r="Y11" s="60">
        <f>SUM(Y7:Y10)</f>
        <v>109.79865771812081</v>
      </c>
      <c r="Z11" s="61"/>
      <c r="AA11" s="61">
        <f>SUM(AA7:AA10)</f>
        <v>4.8322147651006704</v>
      </c>
      <c r="AB11" s="61">
        <f>SUM(AB7:AB10)</f>
        <v>19.597315436241612</v>
      </c>
      <c r="AC11" s="61">
        <f>SUM(AC7:AC10)</f>
        <v>17.583892617449663</v>
      </c>
      <c r="AD11" s="61">
        <f>SUM(AD7:AD10)</f>
        <v>13.825503355704697</v>
      </c>
      <c r="AE11" s="60">
        <f>SUM(AE7:AE10)</f>
        <v>55.838926174496649</v>
      </c>
      <c r="AF11" s="61"/>
      <c r="AG11" s="61">
        <f>SUM(AG7:AG10)</f>
        <v>16.107382550335569</v>
      </c>
      <c r="AH11" s="61">
        <f>SUM(AH7:AH10)</f>
        <v>21.476510067114095</v>
      </c>
      <c r="AI11" s="61">
        <f>SUM(AI7:AI10)</f>
        <v>19.865771812080538</v>
      </c>
      <c r="AJ11" s="61">
        <f>SUM(AJ7:AJ10)</f>
        <v>6.9798657718120785</v>
      </c>
      <c r="AK11" s="60">
        <f>SUM(AK7:AK10)</f>
        <v>64.429530201342274</v>
      </c>
      <c r="AL11" s="61"/>
      <c r="AM11" s="61">
        <f>SUM(AM7:AM10)</f>
        <v>13.020134228187921</v>
      </c>
      <c r="AN11" s="61">
        <f>SUM(AN7:AN10)</f>
        <v>12.885906040268457</v>
      </c>
      <c r="AO11" s="61">
        <f>SUM(AO7:AO10)</f>
        <v>24.832214765100669</v>
      </c>
      <c r="AP11" s="61">
        <f>SUM(AP7:AP10)</f>
        <v>8.9932885906040276</v>
      </c>
      <c r="AQ11" s="60">
        <f>SUM(AQ7:AQ10)</f>
        <v>59.731543624161091</v>
      </c>
      <c r="AR11" s="61"/>
      <c r="AS11" s="61">
        <f>SUM(AS7:AS10)</f>
        <v>13.825503355704697</v>
      </c>
      <c r="AT11" s="61">
        <f>SUM(AT7:AT10)</f>
        <v>13.288590604026844</v>
      </c>
      <c r="AU11" s="61">
        <f>SUM(AU7:AU10)</f>
        <v>13.691275167785236</v>
      </c>
      <c r="AV11" s="61">
        <f>SUM(AV7:AV10)</f>
        <v>22.68456375838926</v>
      </c>
      <c r="AW11" s="60">
        <f>SUM(AW7:AW10)</f>
        <v>63.48993288590605</v>
      </c>
      <c r="AX11" s="61"/>
      <c r="AY11" s="61">
        <f>SUM(AY7:AY10)</f>
        <v>11.812080536912752</v>
      </c>
      <c r="AZ11" s="61">
        <f>SUM(AZ7:AZ10)</f>
        <v>20.000000000000004</v>
      </c>
      <c r="BA11" s="61">
        <f>SUM(BA7:BA10)</f>
        <v>14.093959731543626</v>
      </c>
      <c r="BB11" s="61">
        <f>SUM(BB7:BB10)</f>
        <v>22.281879194630868</v>
      </c>
      <c r="BC11" s="60">
        <f>SUM(BC7:BC10)</f>
        <v>68.187919463087241</v>
      </c>
      <c r="BD11" s="61"/>
      <c r="BE11" s="61">
        <f>SUM(BE7:BE10)</f>
        <v>21.610738255033556</v>
      </c>
      <c r="BF11" s="61">
        <f>SUM(BF7:BF10)</f>
        <v>11.543624161073827</v>
      </c>
      <c r="BG11" s="61">
        <f>SUM(BG7:BG10)</f>
        <v>13.020134228187919</v>
      </c>
      <c r="BH11" s="61">
        <f>SUM(BH7:BH10)</f>
        <v>21.610738255033556</v>
      </c>
      <c r="BI11" s="60">
        <f>SUM(BI7:BI10)</f>
        <v>67.785234899328842</v>
      </c>
      <c r="BJ11" s="61"/>
      <c r="BK11" s="61">
        <f>SUM(BK7:BK10)</f>
        <v>14.496644295302019</v>
      </c>
      <c r="BL11" s="61">
        <f>SUM(BL7:BL10)</f>
        <v>-1.8791946308724832</v>
      </c>
      <c r="BM11" s="61">
        <f>SUM(BM7:BM10)</f>
        <v>13.557046979865769</v>
      </c>
      <c r="BN11" s="61">
        <f>SUM(BN7:BN10)</f>
        <v>11.899999999999995</v>
      </c>
      <c r="BO11" s="60">
        <f>SUM(BO7:BO10)</f>
        <v>38.074496644295323</v>
      </c>
      <c r="BP11" s="61"/>
      <c r="BQ11" s="61">
        <f>SUM(BQ7:BQ10)</f>
        <v>16.200999999999997</v>
      </c>
      <c r="BR11" s="61">
        <f>SUM(BR7:BR10)</f>
        <v>30.299999999999997</v>
      </c>
      <c r="BS11" s="61">
        <f>SUM(BS7:BS10)</f>
        <v>-20.799999999999997</v>
      </c>
      <c r="BT11" s="61">
        <f>SUM(BT7:BT10)</f>
        <v>14.599999999999996</v>
      </c>
      <c r="BU11" s="60">
        <f>SUM(BU7:BU10)</f>
        <v>40.300999999999988</v>
      </c>
      <c r="BV11" s="61"/>
      <c r="BW11" s="61">
        <f>SUM(BW7:BW10)</f>
        <v>20.3</v>
      </c>
      <c r="BX11" s="61">
        <f>SUM(BX7:BX10)</f>
        <v>52.2</v>
      </c>
      <c r="BY11" s="61">
        <f>SUM(BY7:BY10)</f>
        <v>30.600000000000005</v>
      </c>
      <c r="BZ11" s="61">
        <f>SUM(BZ7:BZ10)</f>
        <v>-2.5999999999999903</v>
      </c>
      <c r="CA11" s="60">
        <f>SUM(CA7:CA10)</f>
        <v>100.50000000000003</v>
      </c>
      <c r="CC11" s="61">
        <f>SUM(CC7:CC10)</f>
        <v>-5.5999999999999979</v>
      </c>
      <c r="CD11" s="61">
        <f>SUM(CD7:CD10)</f>
        <v>4.3000000000000016</v>
      </c>
      <c r="CE11" s="61">
        <f>SUM(CE7:CE10)</f>
        <v>-2.9999999999999991</v>
      </c>
      <c r="CF11" s="61">
        <f>SUM(CF7:CF10)</f>
        <v>-33.20000000000001</v>
      </c>
      <c r="CG11" s="60">
        <f>SUM(CG7:CG10)</f>
        <v>-37.500000000000007</v>
      </c>
      <c r="CI11" s="61">
        <f>SUM(CI7:CI10)</f>
        <v>-22.6</v>
      </c>
      <c r="CJ11" s="61">
        <f>SUM(CJ7:CJ10)</f>
        <v>-13.299999999999997</v>
      </c>
      <c r="CK11" s="61">
        <f>SUM(CK7:CK10)</f>
        <v>-17</v>
      </c>
      <c r="CL11" s="61">
        <f>SUM(CL7:CL10)</f>
        <v>-30.1</v>
      </c>
      <c r="CM11" s="60">
        <f>SUM(CM7:CM10)</f>
        <v>-83</v>
      </c>
      <c r="CO11" s="61">
        <f>SUM(CO7:CO10)</f>
        <v>-15.200000000000001</v>
      </c>
      <c r="CP11" s="61">
        <f>SUM(CP7:CP10)</f>
        <v>-16.100000000000001</v>
      </c>
      <c r="CQ11" s="61">
        <f>SUM(CQ7:CQ10)</f>
        <v>-1.9000000000000004</v>
      </c>
      <c r="CR11" s="61">
        <f>SUM(CR7:CR10)</f>
        <v>-14.7</v>
      </c>
      <c r="CS11" s="60">
        <f>SUM(CS7:CS10)</f>
        <v>-47.900000000000006</v>
      </c>
      <c r="CU11" s="61">
        <f>SUM(CU7:CU10)</f>
        <v>6.1000000000000014</v>
      </c>
      <c r="CV11" s="61">
        <f>SUM(CV7:CV10)</f>
        <v>17.5</v>
      </c>
      <c r="CW11" s="61">
        <f>SUM(CW7:CW10)</f>
        <v>6.3000000000000078</v>
      </c>
      <c r="CX11" s="61">
        <f>SUM(CX7:CX10)</f>
        <v>-13.099999999999996</v>
      </c>
      <c r="CY11" s="60">
        <f>SUM(CY7:CY10)</f>
        <v>16.800000000000011</v>
      </c>
      <c r="DA11" s="61">
        <f>SUM(DA7:DA10)</f>
        <v>19.199999999999996</v>
      </c>
      <c r="DB11" s="61">
        <f>SUM(DB7:DB10)</f>
        <v>20.7</v>
      </c>
      <c r="DC11" s="61">
        <f>SUM(DC7:DC10)</f>
        <v>15.799999999999997</v>
      </c>
      <c r="DD11" s="61">
        <f>SUM(DD7:DD10)</f>
        <v>13.500000000000002</v>
      </c>
      <c r="DE11" s="60">
        <f>SUM(DE7:DE10)</f>
        <v>69.19999999999996</v>
      </c>
      <c r="DG11" s="61">
        <f>SUM(DG7:DG10)</f>
        <v>34.5</v>
      </c>
      <c r="DH11" s="61">
        <f>SUM(DH7:DH10)</f>
        <v>36.4</v>
      </c>
      <c r="DI11" s="61">
        <f>SUM(DI7:DI10)</f>
        <v>53.800000000000004</v>
      </c>
      <c r="DJ11" s="61">
        <f>SUM(DJ7:DJ10)</f>
        <v>39.70000000000001</v>
      </c>
      <c r="DK11" s="60">
        <f>+SUM(DK7:DK10)</f>
        <v>164.40000000000003</v>
      </c>
      <c r="DM11" s="3">
        <f>SUM(DM7:DM10)</f>
        <v>53</v>
      </c>
      <c r="DN11" s="3">
        <f>SUM(DN7:DN10)</f>
        <v>61</v>
      </c>
      <c r="DO11" s="3">
        <f>SUM(DO7:DO10)</f>
        <v>66</v>
      </c>
      <c r="DP11" s="3">
        <f>SUM(DP7:DP10)</f>
        <v>60</v>
      </c>
      <c r="DQ11" s="29">
        <f>+DM11+DN11+DO11+DP11</f>
        <v>240</v>
      </c>
      <c r="DS11" s="3">
        <f>SUM(DS7:DS10)</f>
        <v>51</v>
      </c>
      <c r="DT11" s="3">
        <f>SUM(DT7:DT10)</f>
        <v>71</v>
      </c>
      <c r="DU11" s="3">
        <f>SUM(DU7:DU10)</f>
        <v>87</v>
      </c>
      <c r="DV11" s="3">
        <f>SUM(DV7:DV10)</f>
        <v>0</v>
      </c>
      <c r="DW11" s="29">
        <f>+DS11+DT11+DU11+DV11</f>
        <v>209</v>
      </c>
    </row>
    <row r="12" spans="1:127" hidden="1" x14ac:dyDescent="0.2">
      <c r="A12" s="2" t="s">
        <v>43</v>
      </c>
      <c r="C12" s="24"/>
      <c r="D12" s="24"/>
      <c r="E12" s="24"/>
      <c r="F12" s="24"/>
      <c r="G12" s="60">
        <f>SUM(C12:F12)</f>
        <v>0</v>
      </c>
      <c r="H12" s="24"/>
      <c r="I12" s="24"/>
      <c r="J12" s="24"/>
      <c r="K12" s="24"/>
      <c r="L12" s="24"/>
      <c r="M12" s="60">
        <f>SUM(I12:L12)</f>
        <v>0</v>
      </c>
      <c r="N12" s="24"/>
      <c r="O12" s="24"/>
      <c r="P12" s="24"/>
      <c r="Q12" s="24"/>
      <c r="R12" s="24"/>
      <c r="S12" s="60">
        <f>SUM(O12:R12)</f>
        <v>0</v>
      </c>
      <c r="T12" s="24"/>
      <c r="U12" s="24"/>
      <c r="V12" s="24"/>
      <c r="W12" s="24"/>
      <c r="X12" s="24"/>
      <c r="Y12" s="60">
        <f>SUM(U12:X12)</f>
        <v>0</v>
      </c>
      <c r="Z12" s="24"/>
      <c r="AA12" s="24"/>
      <c r="AB12" s="24"/>
      <c r="AC12" s="24"/>
      <c r="AD12" s="24"/>
      <c r="AE12" s="60">
        <f>SUM(AA12:AD12)</f>
        <v>0</v>
      </c>
      <c r="AF12" s="24"/>
      <c r="AG12" s="24"/>
      <c r="AH12" s="24"/>
      <c r="AI12" s="24"/>
      <c r="AJ12" s="24"/>
      <c r="AK12" s="60">
        <f>SUM(AG12:AJ12)</f>
        <v>0</v>
      </c>
      <c r="AL12" s="24"/>
      <c r="AM12" s="24"/>
      <c r="AN12" s="24"/>
      <c r="AO12" s="24"/>
      <c r="AP12" s="24"/>
      <c r="AQ12" s="60">
        <f>SUM(AM12:AP12)</f>
        <v>0</v>
      </c>
      <c r="AR12" s="24"/>
      <c r="AS12" s="24"/>
      <c r="AT12" s="24"/>
      <c r="AU12" s="24"/>
      <c r="AV12" s="24"/>
      <c r="AW12" s="60">
        <f>SUM(AS12:AV12)</f>
        <v>0</v>
      </c>
      <c r="AX12" s="24"/>
      <c r="AY12" s="24"/>
      <c r="AZ12" s="24"/>
      <c r="BA12" s="24"/>
      <c r="BB12" s="24"/>
      <c r="BC12" s="60">
        <f>SUM(AY12:BB12)</f>
        <v>0</v>
      </c>
      <c r="BD12" s="24"/>
      <c r="BE12" s="24"/>
      <c r="BF12" s="24"/>
      <c r="BG12" s="24"/>
      <c r="BH12" s="24"/>
      <c r="BI12" s="60">
        <f>SUM(BE12:BH12)</f>
        <v>0</v>
      </c>
      <c r="BJ12" s="24"/>
      <c r="BK12" s="24"/>
      <c r="BL12" s="24"/>
      <c r="BM12" s="24"/>
      <c r="BN12" s="24"/>
      <c r="BO12" s="60">
        <f>SUM(BK12:BN12)</f>
        <v>0</v>
      </c>
      <c r="BP12" s="24"/>
      <c r="BQ12" s="24"/>
      <c r="BR12" s="24"/>
      <c r="BS12" s="24"/>
      <c r="BT12" s="24"/>
      <c r="BU12" s="60">
        <f>SUM(BQ12:BT12)</f>
        <v>0</v>
      </c>
      <c r="BV12" s="24"/>
      <c r="BW12" s="24"/>
      <c r="BX12" s="24"/>
      <c r="BY12" s="24"/>
      <c r="BZ12" s="24"/>
      <c r="CA12" s="60">
        <f>SUM(BW12:BZ12)</f>
        <v>0</v>
      </c>
      <c r="CC12" s="24"/>
      <c r="CD12" s="24"/>
      <c r="CE12" s="24"/>
      <c r="CF12" s="24"/>
      <c r="CG12" s="60">
        <f>SUM(CC12:CF12)</f>
        <v>0</v>
      </c>
      <c r="CI12" s="24"/>
      <c r="CJ12" s="24"/>
      <c r="CK12" s="24"/>
      <c r="CL12" s="24"/>
      <c r="CM12" s="60">
        <f>SUM(CI12:CL12)</f>
        <v>0</v>
      </c>
      <c r="CO12" s="24"/>
      <c r="CP12" s="24"/>
      <c r="CQ12" s="24"/>
      <c r="CR12" s="24"/>
      <c r="CS12" s="60">
        <f>SUM(CO12:CR12)</f>
        <v>0</v>
      </c>
      <c r="CU12" s="24"/>
      <c r="CV12" s="24"/>
      <c r="CW12" s="24"/>
      <c r="CX12" s="24"/>
      <c r="CY12" s="60">
        <f>SUM(CU12:CX12)</f>
        <v>0</v>
      </c>
      <c r="DA12" s="24"/>
      <c r="DB12" s="24"/>
      <c r="DC12" s="24"/>
      <c r="DD12" s="24"/>
      <c r="DE12" s="60">
        <f>SUM(DA12:DD12)</f>
        <v>0</v>
      </c>
      <c r="DG12" s="24"/>
      <c r="DH12" s="24"/>
      <c r="DI12" s="24"/>
      <c r="DJ12" s="24"/>
      <c r="DK12" s="63">
        <f t="shared" si="0"/>
        <v>0</v>
      </c>
      <c r="DM12" s="4"/>
      <c r="DN12" s="4"/>
      <c r="DO12" s="4"/>
      <c r="DP12" s="4"/>
      <c r="DQ12" s="256">
        <f t="shared" ref="DQ12" si="3">+SUM(DM12:DP12)</f>
        <v>0</v>
      </c>
      <c r="DS12" s="4"/>
      <c r="DT12" s="4"/>
      <c r="DU12" s="4"/>
      <c r="DV12" s="4"/>
      <c r="DW12" s="256">
        <f t="shared" ref="DW12" si="4">+SUM(DS12:DV12)</f>
        <v>0</v>
      </c>
    </row>
    <row r="13" spans="1:127" s="36" customFormat="1" x14ac:dyDescent="0.2">
      <c r="A13" s="36" t="s">
        <v>91</v>
      </c>
      <c r="C13" s="62"/>
      <c r="D13" s="62"/>
      <c r="E13" s="62"/>
      <c r="F13" s="62">
        <v>-0.80536912751677847</v>
      </c>
      <c r="G13" s="63">
        <f>SUM(C13:F13)</f>
        <v>-0.80536912751677847</v>
      </c>
      <c r="H13" s="62"/>
      <c r="I13" s="62"/>
      <c r="J13" s="62"/>
      <c r="K13" s="62"/>
      <c r="L13" s="62"/>
      <c r="M13" s="63">
        <f>SUM(I13:L13)</f>
        <v>0</v>
      </c>
      <c r="N13" s="62"/>
      <c r="O13" s="62"/>
      <c r="P13" s="62"/>
      <c r="Q13" s="62"/>
      <c r="R13" s="62"/>
      <c r="S13" s="63">
        <f>SUM(O13:R13)</f>
        <v>0</v>
      </c>
      <c r="T13" s="62"/>
      <c r="U13" s="62"/>
      <c r="V13" s="62"/>
      <c r="W13" s="62"/>
      <c r="X13" s="62"/>
      <c r="Y13" s="63">
        <f>SUM(U13:X13)</f>
        <v>0</v>
      </c>
      <c r="Z13" s="62"/>
      <c r="AA13" s="62"/>
      <c r="AB13" s="62"/>
      <c r="AC13" s="62"/>
      <c r="AD13" s="62"/>
      <c r="AE13" s="63">
        <f>SUM(AA13:AD13)</f>
        <v>0</v>
      </c>
      <c r="AF13" s="62"/>
      <c r="AG13" s="62">
        <v>0</v>
      </c>
      <c r="AH13" s="62">
        <v>0</v>
      </c>
      <c r="AI13" s="62">
        <v>0</v>
      </c>
      <c r="AJ13" s="62">
        <v>0</v>
      </c>
      <c r="AK13" s="63">
        <f>SUM(AG13:AJ13)</f>
        <v>0</v>
      </c>
      <c r="AL13" s="62"/>
      <c r="AM13" s="62">
        <v>0</v>
      </c>
      <c r="AN13" s="62">
        <v>0</v>
      </c>
      <c r="AO13" s="62">
        <v>0</v>
      </c>
      <c r="AP13" s="62">
        <v>0</v>
      </c>
      <c r="AQ13" s="63">
        <f>SUM(AM13:AP13)</f>
        <v>0</v>
      </c>
      <c r="AR13" s="62"/>
      <c r="AS13" s="62">
        <v>0</v>
      </c>
      <c r="AT13" s="62">
        <v>0</v>
      </c>
      <c r="AU13" s="62">
        <v>0</v>
      </c>
      <c r="AV13" s="62">
        <v>0</v>
      </c>
      <c r="AW13" s="63">
        <f>SUM(AS13:AV13)</f>
        <v>0</v>
      </c>
      <c r="AX13" s="62"/>
      <c r="AY13" s="62">
        <v>0</v>
      </c>
      <c r="AZ13" s="62">
        <v>0</v>
      </c>
      <c r="BA13" s="62">
        <v>0</v>
      </c>
      <c r="BB13" s="62">
        <v>0</v>
      </c>
      <c r="BC13" s="63">
        <f>SUM(AY13:BB13)</f>
        <v>0</v>
      </c>
      <c r="BD13" s="62"/>
      <c r="BE13" s="62">
        <v>0</v>
      </c>
      <c r="BF13" s="62">
        <v>0</v>
      </c>
      <c r="BG13" s="62">
        <v>0</v>
      </c>
      <c r="BH13" s="62">
        <v>0</v>
      </c>
      <c r="BI13" s="63">
        <f>SUM(BE13:BH13)</f>
        <v>0</v>
      </c>
      <c r="BJ13" s="62"/>
      <c r="BK13" s="62">
        <v>0</v>
      </c>
      <c r="BL13" s="62">
        <v>-3.7583892617449663</v>
      </c>
      <c r="BM13" s="62">
        <v>0</v>
      </c>
      <c r="BN13" s="62">
        <v>-0.1</v>
      </c>
      <c r="BO13" s="63">
        <f>SUM(BK13:BN13)</f>
        <v>-3.8583892617449664</v>
      </c>
      <c r="BP13" s="62"/>
      <c r="BQ13" s="62">
        <v>0</v>
      </c>
      <c r="BR13" s="62">
        <v>0</v>
      </c>
      <c r="BS13" s="62">
        <v>0</v>
      </c>
      <c r="BT13" s="62">
        <v>0</v>
      </c>
      <c r="BU13" s="63">
        <f>SUM(BQ13:BT13)</f>
        <v>0</v>
      </c>
      <c r="BV13" s="62"/>
      <c r="BW13" s="62">
        <v>0</v>
      </c>
      <c r="BX13" s="62">
        <v>0</v>
      </c>
      <c r="BY13" s="62">
        <v>0</v>
      </c>
      <c r="BZ13" s="62">
        <v>0</v>
      </c>
      <c r="CA13" s="63">
        <f>SUM(BW13:BZ13)</f>
        <v>0</v>
      </c>
      <c r="CC13" s="62">
        <v>0</v>
      </c>
      <c r="CD13" s="62">
        <v>0</v>
      </c>
      <c r="CE13" s="62">
        <v>0</v>
      </c>
      <c r="CF13" s="62">
        <v>0</v>
      </c>
      <c r="CG13" s="63">
        <f>SUM(CC13:CF13)</f>
        <v>0</v>
      </c>
      <c r="CI13" s="62">
        <v>0</v>
      </c>
      <c r="CJ13" s="62">
        <v>0</v>
      </c>
      <c r="CK13" s="62">
        <v>0</v>
      </c>
      <c r="CL13" s="62">
        <v>0</v>
      </c>
      <c r="CM13" s="63">
        <f>SUM(CI13:CL13)</f>
        <v>0</v>
      </c>
      <c r="CO13" s="62">
        <v>0</v>
      </c>
      <c r="CP13" s="62">
        <v>0</v>
      </c>
      <c r="CQ13" s="62">
        <v>0</v>
      </c>
      <c r="CR13" s="62">
        <v>0</v>
      </c>
      <c r="CS13" s="63">
        <f>SUM(CO13:CR13)</f>
        <v>0</v>
      </c>
      <c r="CU13" s="62">
        <v>0</v>
      </c>
      <c r="CV13" s="62">
        <v>0</v>
      </c>
      <c r="CW13" s="62">
        <v>0</v>
      </c>
      <c r="CX13" s="62">
        <v>0</v>
      </c>
      <c r="CY13" s="63">
        <f>SUM(CU13:CX13)</f>
        <v>0</v>
      </c>
      <c r="DA13" s="62">
        <v>0</v>
      </c>
      <c r="DB13" s="62">
        <v>0</v>
      </c>
      <c r="DC13" s="62">
        <v>0</v>
      </c>
      <c r="DD13" s="62">
        <v>0</v>
      </c>
      <c r="DE13" s="63">
        <f>SUM(DA13:DD13)</f>
        <v>0</v>
      </c>
      <c r="DG13" s="62">
        <v>0</v>
      </c>
      <c r="DH13" s="62">
        <v>0</v>
      </c>
      <c r="DI13" s="62">
        <v>0</v>
      </c>
      <c r="DJ13" s="62"/>
      <c r="DK13" s="63"/>
      <c r="DM13" s="242">
        <v>0</v>
      </c>
      <c r="DN13" s="242">
        <v>0</v>
      </c>
      <c r="DO13" s="242">
        <v>0</v>
      </c>
      <c r="DP13" s="242"/>
      <c r="DQ13" s="256"/>
      <c r="DS13" s="242">
        <v>0</v>
      </c>
      <c r="DT13" s="242">
        <v>0</v>
      </c>
      <c r="DU13" s="242">
        <v>0</v>
      </c>
      <c r="DV13" s="242"/>
      <c r="DW13" s="256"/>
    </row>
    <row r="14" spans="1:127" s="1" customFormat="1" ht="18.75" customHeight="1" x14ac:dyDescent="0.2">
      <c r="A14" s="1" t="s">
        <v>2</v>
      </c>
      <c r="C14" s="61">
        <f>SUM(C11:C13)</f>
        <v>9.932885906040271</v>
      </c>
      <c r="D14" s="61">
        <f>SUM(D11:D13)</f>
        <v>16.778523489932887</v>
      </c>
      <c r="E14" s="61">
        <f>SUM(E11:E13)</f>
        <v>18.657718120805367</v>
      </c>
      <c r="F14" s="61">
        <f>SUM(F11:F13)</f>
        <v>19.731543624161073</v>
      </c>
      <c r="G14" s="60">
        <f>SUM(G11:G13)</f>
        <v>65.100671140939582</v>
      </c>
      <c r="H14" s="61"/>
      <c r="I14" s="61">
        <f>SUM(I11:I13)</f>
        <v>16.644295302013422</v>
      </c>
      <c r="J14" s="61">
        <f>SUM(J11:J13)</f>
        <v>43.489932885906036</v>
      </c>
      <c r="K14" s="61">
        <f>SUM(K11:K13)</f>
        <v>27.114093959731544</v>
      </c>
      <c r="L14" s="61">
        <f>SUM(L11:L13)</f>
        <v>22.550335570469798</v>
      </c>
      <c r="M14" s="60">
        <f>SUM(M11:M13)</f>
        <v>109.79865771812081</v>
      </c>
      <c r="N14" s="61"/>
      <c r="O14" s="61">
        <f>SUM(O11:O13)</f>
        <v>25.637583892617453</v>
      </c>
      <c r="P14" s="61">
        <f>SUM(P11:P13)</f>
        <v>44.429530201342281</v>
      </c>
      <c r="Q14" s="61">
        <f>SUM(Q11:Q13)</f>
        <v>33.288590604026844</v>
      </c>
      <c r="R14" s="61">
        <f>SUM(R11:R13)</f>
        <v>48.724832214765101</v>
      </c>
      <c r="S14" s="60">
        <f>SUM(S11:S13)</f>
        <v>152.08053691275168</v>
      </c>
      <c r="T14" s="61"/>
      <c r="U14" s="61">
        <f>SUM(U11:U13)</f>
        <v>30.33557046979865</v>
      </c>
      <c r="V14" s="61">
        <f>SUM(V11:V13)</f>
        <v>50.604026845637584</v>
      </c>
      <c r="W14" s="61">
        <f>SUM(W11:W13)</f>
        <v>32.348993288590606</v>
      </c>
      <c r="X14" s="61">
        <f>SUM(X11:X13)</f>
        <v>-3.4899328859060388</v>
      </c>
      <c r="Y14" s="60">
        <f>SUM(Y11:Y13)</f>
        <v>109.79865771812081</v>
      </c>
      <c r="Z14" s="61"/>
      <c r="AA14" s="61">
        <f>SUM(AA11:AA13)</f>
        <v>4.8322147651006704</v>
      </c>
      <c r="AB14" s="61">
        <f>SUM(AB11:AB13)</f>
        <v>19.597315436241612</v>
      </c>
      <c r="AC14" s="61">
        <f>SUM(AC11:AC13)</f>
        <v>17.583892617449663</v>
      </c>
      <c r="AD14" s="61">
        <f>SUM(AD11:AD13)</f>
        <v>13.825503355704697</v>
      </c>
      <c r="AE14" s="60">
        <f>SUM(AE11:AE13)</f>
        <v>55.838926174496649</v>
      </c>
      <c r="AF14" s="61"/>
      <c r="AG14" s="61">
        <f>SUM(AG11:AG13)</f>
        <v>16.107382550335569</v>
      </c>
      <c r="AH14" s="61">
        <f>SUM(AH11:AH13)</f>
        <v>21.476510067114095</v>
      </c>
      <c r="AI14" s="61">
        <f>SUM(AI11:AI13)</f>
        <v>19.865771812080538</v>
      </c>
      <c r="AJ14" s="61">
        <f>SUM(AJ11:AJ13)</f>
        <v>6.9798657718120785</v>
      </c>
      <c r="AK14" s="60">
        <f>SUM(AK11:AK13)</f>
        <v>64.429530201342274</v>
      </c>
      <c r="AL14" s="61"/>
      <c r="AM14" s="61">
        <f>SUM(AM11:AM13)</f>
        <v>13.020134228187921</v>
      </c>
      <c r="AN14" s="61">
        <f>SUM(AN11:AN13)</f>
        <v>12.885906040268457</v>
      </c>
      <c r="AO14" s="61">
        <f>SUM(AO11:AO13)</f>
        <v>24.832214765100669</v>
      </c>
      <c r="AP14" s="61">
        <f>SUM(AP11:AP13)</f>
        <v>8.9932885906040276</v>
      </c>
      <c r="AQ14" s="60">
        <f>SUM(AQ11:AQ13)</f>
        <v>59.731543624161091</v>
      </c>
      <c r="AR14" s="61"/>
      <c r="AS14" s="61">
        <f>SUM(AS11:AS13)</f>
        <v>13.825503355704697</v>
      </c>
      <c r="AT14" s="61">
        <f>SUM(AT11:AT13)</f>
        <v>13.288590604026844</v>
      </c>
      <c r="AU14" s="61">
        <f>SUM(AU11:AU13)</f>
        <v>13.691275167785236</v>
      </c>
      <c r="AV14" s="61">
        <f>SUM(AV11:AV13)</f>
        <v>22.68456375838926</v>
      </c>
      <c r="AW14" s="60">
        <f>SUM(AW11:AW13)</f>
        <v>63.48993288590605</v>
      </c>
      <c r="AX14" s="61"/>
      <c r="AY14" s="61">
        <f>SUM(AY11:AY13)</f>
        <v>11.812080536912752</v>
      </c>
      <c r="AZ14" s="61">
        <f>SUM(AZ11:AZ13)</f>
        <v>20.000000000000004</v>
      </c>
      <c r="BA14" s="61">
        <f>SUM(BA11:BA13)</f>
        <v>14.093959731543626</v>
      </c>
      <c r="BB14" s="61">
        <f>SUM(BB11:BB13)</f>
        <v>22.281879194630868</v>
      </c>
      <c r="BC14" s="60">
        <f>SUM(BC11:BC13)</f>
        <v>68.187919463087241</v>
      </c>
      <c r="BD14" s="61"/>
      <c r="BE14" s="61">
        <f>SUM(BE11:BE13)</f>
        <v>21.610738255033556</v>
      </c>
      <c r="BF14" s="61">
        <f>SUM(BF11:BF13)</f>
        <v>11.543624161073827</v>
      </c>
      <c r="BG14" s="61">
        <f>SUM(BG11:BG13)</f>
        <v>13.020134228187919</v>
      </c>
      <c r="BH14" s="61">
        <f>SUM(BH11:BH13)</f>
        <v>21.610738255033556</v>
      </c>
      <c r="BI14" s="60">
        <f>SUM(BI11:BI13)</f>
        <v>67.785234899328842</v>
      </c>
      <c r="BJ14" s="61"/>
      <c r="BK14" s="61">
        <f>SUM(BK11:BK13)</f>
        <v>14.496644295302019</v>
      </c>
      <c r="BL14" s="61">
        <f>SUM(BL11:BL13)</f>
        <v>-5.6375838926174495</v>
      </c>
      <c r="BM14" s="61">
        <f>SUM(BM11:BM13)</f>
        <v>13.557046979865769</v>
      </c>
      <c r="BN14" s="61">
        <f>SUM(BN11:BN13)</f>
        <v>11.799999999999995</v>
      </c>
      <c r="BO14" s="60">
        <f>SUM(BO11:BO13)</f>
        <v>34.216107382550355</v>
      </c>
      <c r="BP14" s="61"/>
      <c r="BQ14" s="61">
        <f>SUM(BQ11:BQ13)</f>
        <v>16.200999999999997</v>
      </c>
      <c r="BR14" s="61">
        <f>SUM(BR11:BR13)</f>
        <v>30.299999999999997</v>
      </c>
      <c r="BS14" s="61">
        <f>SUM(BS11:BS13)</f>
        <v>-20.799999999999997</v>
      </c>
      <c r="BT14" s="61">
        <f>SUM(BT11:BT13)</f>
        <v>14.599999999999996</v>
      </c>
      <c r="BU14" s="60">
        <f>SUM(BU11:BU13)</f>
        <v>40.300999999999988</v>
      </c>
      <c r="BV14" s="61"/>
      <c r="BW14" s="61">
        <f>SUM(BW11:BW13)</f>
        <v>20.3</v>
      </c>
      <c r="BX14" s="61">
        <f>SUM(BX11:BX13)</f>
        <v>52.2</v>
      </c>
      <c r="BY14" s="61">
        <f>SUM(BY11:BY13)</f>
        <v>30.600000000000005</v>
      </c>
      <c r="BZ14" s="61">
        <f>SUM(BZ11:BZ13)</f>
        <v>-2.5999999999999903</v>
      </c>
      <c r="CA14" s="60">
        <f>SUM(CA11:CA13)</f>
        <v>100.50000000000003</v>
      </c>
      <c r="CC14" s="61">
        <f>SUM(CC11:CC13)</f>
        <v>-5.5999999999999979</v>
      </c>
      <c r="CD14" s="61">
        <f>SUM(CD11:CD13)</f>
        <v>4.3000000000000016</v>
      </c>
      <c r="CE14" s="61">
        <f>SUM(CE11:CE13)</f>
        <v>-2.9999999999999991</v>
      </c>
      <c r="CF14" s="61">
        <f>SUM(CF11:CF13)</f>
        <v>-33.20000000000001</v>
      </c>
      <c r="CG14" s="60">
        <f>SUM(CG11:CG13)</f>
        <v>-37.500000000000007</v>
      </c>
      <c r="CI14" s="61">
        <f>SUM(CI11:CI13)</f>
        <v>-22.6</v>
      </c>
      <c r="CJ14" s="61">
        <f>SUM(CJ11:CJ13)</f>
        <v>-13.299999999999997</v>
      </c>
      <c r="CK14" s="61">
        <f>SUM(CK11:CK13)</f>
        <v>-17</v>
      </c>
      <c r="CL14" s="61">
        <f>SUM(CL11:CL13)</f>
        <v>-30.1</v>
      </c>
      <c r="CM14" s="60">
        <f>SUM(CM11:CM13)</f>
        <v>-83</v>
      </c>
      <c r="CO14" s="61">
        <f>SUM(CO11:CO13)</f>
        <v>-15.200000000000001</v>
      </c>
      <c r="CP14" s="61">
        <f>SUM(CP11:CP13)</f>
        <v>-16.100000000000001</v>
      </c>
      <c r="CQ14" s="61">
        <f>SUM(CQ11:CQ13)</f>
        <v>-1.9000000000000004</v>
      </c>
      <c r="CR14" s="61">
        <f>SUM(CR11:CR13)</f>
        <v>-14.7</v>
      </c>
      <c r="CS14" s="60">
        <f>SUM(CS11:CS13)</f>
        <v>-47.900000000000006</v>
      </c>
      <c r="CU14" s="61">
        <f>SUM(CU11:CU13)</f>
        <v>6.1000000000000014</v>
      </c>
      <c r="CV14" s="61">
        <f>SUM(CV11:CV13)</f>
        <v>17.5</v>
      </c>
      <c r="CW14" s="61">
        <f>SUM(CW11:CW13)</f>
        <v>6.3000000000000078</v>
      </c>
      <c r="CX14" s="61">
        <f>SUM(CX11:CX13)</f>
        <v>-13.099999999999996</v>
      </c>
      <c r="CY14" s="60">
        <f>SUM(CY11:CY13)</f>
        <v>16.800000000000011</v>
      </c>
      <c r="DA14" s="61">
        <f>SUM(DA11:DA13)</f>
        <v>19.199999999999996</v>
      </c>
      <c r="DB14" s="61">
        <f>SUM(DB11:DB13)</f>
        <v>20.7</v>
      </c>
      <c r="DC14" s="61">
        <f>SUM(DC11:DC13)</f>
        <v>15.799999999999997</v>
      </c>
      <c r="DD14" s="61">
        <f>SUM(DD11:DD13)</f>
        <v>13.500000000000002</v>
      </c>
      <c r="DE14" s="60">
        <f>SUM(DE11:DE13)</f>
        <v>69.19999999999996</v>
      </c>
      <c r="DG14" s="61">
        <f>SUM(DG11:DG13)</f>
        <v>34.5</v>
      </c>
      <c r="DH14" s="61">
        <f>SUM(DH11:DH13)</f>
        <v>36.4</v>
      </c>
      <c r="DI14" s="61">
        <f>+DI11+DI13</f>
        <v>53.800000000000004</v>
      </c>
      <c r="DJ14" s="61">
        <f>+DJ11+DJ13</f>
        <v>39.70000000000001</v>
      </c>
      <c r="DK14" s="60">
        <f>+DK11</f>
        <v>164.40000000000003</v>
      </c>
      <c r="DM14" s="3">
        <f>SUM(DM11:DM13)</f>
        <v>53</v>
      </c>
      <c r="DN14" s="3">
        <f>SUM(DN11:DN13)</f>
        <v>61</v>
      </c>
      <c r="DO14" s="3">
        <f>+DO11+DO13</f>
        <v>66</v>
      </c>
      <c r="DP14" s="3">
        <f>+DP11+DP13</f>
        <v>60</v>
      </c>
      <c r="DQ14" s="29">
        <f>+DQ11</f>
        <v>240</v>
      </c>
      <c r="DS14" s="3">
        <f>SUM(DS11:DS13)</f>
        <v>51</v>
      </c>
      <c r="DT14" s="3">
        <f>SUM(DT11:DT13)</f>
        <v>71</v>
      </c>
      <c r="DU14" s="3">
        <f>+DU11+DU13</f>
        <v>87</v>
      </c>
      <c r="DV14" s="3">
        <f>+DV11+DV13</f>
        <v>0</v>
      </c>
      <c r="DW14" s="29">
        <f>+DW11</f>
        <v>209</v>
      </c>
    </row>
    <row r="15" spans="1:127" s="36" customFormat="1" x14ac:dyDescent="0.2">
      <c r="A15" s="36" t="s">
        <v>4</v>
      </c>
      <c r="C15" s="62">
        <v>-2.0134228187919461</v>
      </c>
      <c r="D15" s="62">
        <v>0.13422818791946309</v>
      </c>
      <c r="E15" s="62">
        <v>-0.13422818791946309</v>
      </c>
      <c r="F15" s="62">
        <v>-0.93959731543624159</v>
      </c>
      <c r="G15" s="63">
        <f>SUM(C15:F15)</f>
        <v>-2.9530201342281877</v>
      </c>
      <c r="H15" s="62"/>
      <c r="I15" s="62">
        <v>-1.8791946308724832</v>
      </c>
      <c r="J15" s="62">
        <v>-1.6107382550335569</v>
      </c>
      <c r="K15" s="62">
        <v>-1.2080536912751678</v>
      </c>
      <c r="L15" s="62">
        <v>-1.8791946308724832</v>
      </c>
      <c r="M15" s="63">
        <f>SUM(I15:L15)</f>
        <v>-6.5771812080536911</v>
      </c>
      <c r="N15" s="62"/>
      <c r="O15" s="62">
        <v>-4.1610738255033555</v>
      </c>
      <c r="P15" s="62">
        <v>-3.087248322147651</v>
      </c>
      <c r="Q15" s="62">
        <v>-4.4295302013422821</v>
      </c>
      <c r="R15" s="62">
        <v>-7.7852348993288585</v>
      </c>
      <c r="S15" s="63">
        <f>SUM(O15:R15)</f>
        <v>-19.463087248322147</v>
      </c>
      <c r="T15" s="62"/>
      <c r="U15" s="62">
        <v>-5.6375838926174495</v>
      </c>
      <c r="V15" s="62">
        <v>-9.1275167785234892</v>
      </c>
      <c r="W15" s="62">
        <v>-7.2483221476510069</v>
      </c>
      <c r="X15" s="62">
        <v>-8.3221476510067109</v>
      </c>
      <c r="Y15" s="63">
        <f>SUM(U15:X15)</f>
        <v>-30.335570469798654</v>
      </c>
      <c r="Z15" s="62"/>
      <c r="AA15" s="62">
        <v>-4.6979865771812079</v>
      </c>
      <c r="AB15" s="62">
        <v>-3.4899328859060401</v>
      </c>
      <c r="AC15" s="62">
        <v>-3.2214765100671139</v>
      </c>
      <c r="AD15" s="62">
        <v>-5.3691275167785237</v>
      </c>
      <c r="AE15" s="63">
        <f>SUM(AA15:AD15)</f>
        <v>-16.778523489932883</v>
      </c>
      <c r="AF15" s="62"/>
      <c r="AG15" s="62">
        <v>-3.6241610738255035</v>
      </c>
      <c r="AH15" s="62">
        <v>-2.9530201342281877</v>
      </c>
      <c r="AI15" s="62">
        <v>-5.7718120805369129</v>
      </c>
      <c r="AJ15" s="62">
        <v>-5.7718120805369129</v>
      </c>
      <c r="AK15" s="63">
        <f>SUM(AG15:AJ15)</f>
        <v>-18.120805369127517</v>
      </c>
      <c r="AL15" s="62"/>
      <c r="AM15" s="62">
        <v>-5.7718120805369129</v>
      </c>
      <c r="AN15" s="62">
        <v>-8.1879194630872476</v>
      </c>
      <c r="AO15" s="62">
        <v>-14.228187919463087</v>
      </c>
      <c r="AP15" s="62">
        <v>-9.3959731543624159</v>
      </c>
      <c r="AQ15" s="63">
        <f>SUM(AM15:AP15)</f>
        <v>-37.583892617449663</v>
      </c>
      <c r="AR15" s="62"/>
      <c r="AS15" s="62">
        <v>-7.9194630872483218</v>
      </c>
      <c r="AT15" s="62">
        <v>-6.9798657718120802</v>
      </c>
      <c r="AU15" s="62">
        <v>-5.9060402684563753</v>
      </c>
      <c r="AV15" s="62">
        <v>-5.5033557046979862</v>
      </c>
      <c r="AW15" s="63">
        <f>SUM(AS15:AV15)</f>
        <v>-26.308724832214764</v>
      </c>
      <c r="AX15" s="62"/>
      <c r="AY15" s="62">
        <v>-6.4429530201342278</v>
      </c>
      <c r="AZ15" s="62">
        <v>-5.3691275167785237</v>
      </c>
      <c r="BA15" s="62">
        <v>-4.8322147651006713</v>
      </c>
      <c r="BB15" s="62">
        <v>-4.8322147651006713</v>
      </c>
      <c r="BC15" s="63">
        <f>SUM(AY15:BB15)</f>
        <v>-21.476510067114098</v>
      </c>
      <c r="BD15" s="62"/>
      <c r="BE15" s="62">
        <v>-3.3557046979865772</v>
      </c>
      <c r="BF15" s="62">
        <v>-3.6241610738255035</v>
      </c>
      <c r="BG15" s="62">
        <v>-2.8187919463087248</v>
      </c>
      <c r="BH15" s="62">
        <v>-3.4899328859060401</v>
      </c>
      <c r="BI15" s="63">
        <f>SUM(BE15:BH15)</f>
        <v>-13.288590604026846</v>
      </c>
      <c r="BJ15" s="62"/>
      <c r="BK15" s="62">
        <v>2.1476510067114094</v>
      </c>
      <c r="BL15" s="62">
        <v>-2.8187919463087248</v>
      </c>
      <c r="BM15" s="62">
        <v>-3.4899328859060401</v>
      </c>
      <c r="BN15" s="62">
        <v>-1.94</v>
      </c>
      <c r="BO15" s="63">
        <f>SUM(BK15:BN15)</f>
        <v>-6.1010738255033559</v>
      </c>
      <c r="BP15" s="62"/>
      <c r="BQ15" s="62">
        <v>-1.2</v>
      </c>
      <c r="BR15" s="62">
        <v>-2.9</v>
      </c>
      <c r="BS15" s="62">
        <v>-2.1</v>
      </c>
      <c r="BT15" s="62">
        <v>0.9</v>
      </c>
      <c r="BU15" s="63">
        <f>SUM(BQ15:BT15)</f>
        <v>-5.2999999999999989</v>
      </c>
      <c r="BV15" s="62"/>
      <c r="BW15" s="62">
        <v>-4.4000000000000004</v>
      </c>
      <c r="BX15" s="62">
        <v>-7.9</v>
      </c>
      <c r="BY15" s="62">
        <v>-5.3</v>
      </c>
      <c r="BZ15" s="62">
        <f>17.6-20.9</f>
        <v>-3.2999999999999972</v>
      </c>
      <c r="CA15" s="63">
        <f>SUM(BW15:BZ15)</f>
        <v>-20.9</v>
      </c>
      <c r="CC15" s="62">
        <v>-2.1</v>
      </c>
      <c r="CD15" s="62">
        <v>-1.5</v>
      </c>
      <c r="CE15" s="62">
        <v>-2.6</v>
      </c>
      <c r="CF15" s="62">
        <f>-8+6.2</f>
        <v>-1.7999999999999998</v>
      </c>
      <c r="CG15" s="63">
        <f>SUM(CC15:CF15)</f>
        <v>-8</v>
      </c>
      <c r="CI15" s="62">
        <v>-2.1</v>
      </c>
      <c r="CJ15" s="62">
        <v>-1.7</v>
      </c>
      <c r="CK15" s="62">
        <v>-2.4</v>
      </c>
      <c r="CL15" s="62">
        <v>-6.1</v>
      </c>
      <c r="CM15" s="63">
        <f>SUM(CI15:CL15)</f>
        <v>-12.299999999999999</v>
      </c>
      <c r="CO15" s="62">
        <v>-7.1</v>
      </c>
      <c r="CP15" s="62">
        <v>0.2</v>
      </c>
      <c r="CQ15" s="62">
        <v>-6.9</v>
      </c>
      <c r="CR15" s="62">
        <v>-2.9</v>
      </c>
      <c r="CS15" s="63">
        <f>SUM(CO15:CR15)</f>
        <v>-16.7</v>
      </c>
      <c r="CU15" s="62">
        <v>-3.6</v>
      </c>
      <c r="CV15" s="62">
        <v>-3.5</v>
      </c>
      <c r="CW15" s="62">
        <v>-4.4000000000000004</v>
      </c>
      <c r="CX15" s="62">
        <v>-0.9</v>
      </c>
      <c r="CY15" s="63">
        <f>SUM(CU15:CX15)</f>
        <v>-12.4</v>
      </c>
      <c r="DA15" s="62">
        <v>-5.4</v>
      </c>
      <c r="DB15" s="62">
        <v>-4.4000000000000004</v>
      </c>
      <c r="DC15" s="62">
        <v>5.0999999999999996</v>
      </c>
      <c r="DD15" s="62">
        <v>13.8</v>
      </c>
      <c r="DE15" s="63">
        <f>SUM(DA15:DD15)</f>
        <v>9.1</v>
      </c>
      <c r="DG15" s="62">
        <v>4.9000000000000004</v>
      </c>
      <c r="DH15" s="62">
        <v>11.4</v>
      </c>
      <c r="DI15" s="62">
        <v>-23.5</v>
      </c>
      <c r="DJ15" s="62">
        <f>+DK15-SUM(DG15:DI15)</f>
        <v>-8.399999999999995</v>
      </c>
      <c r="DK15" s="63">
        <f>109.5-125.1</f>
        <v>-15.599999999999994</v>
      </c>
      <c r="DM15" s="242">
        <v>8</v>
      </c>
      <c r="DN15" s="242">
        <v>16</v>
      </c>
      <c r="DO15" s="242">
        <v>5</v>
      </c>
      <c r="DP15" s="242">
        <v>5</v>
      </c>
      <c r="DQ15" s="256">
        <f>+DM15+DN15+DO15+DP15</f>
        <v>34</v>
      </c>
      <c r="DS15" s="242">
        <v>25</v>
      </c>
      <c r="DT15" s="242">
        <v>-1</v>
      </c>
      <c r="DU15" s="242">
        <v>1</v>
      </c>
      <c r="DV15" s="242"/>
      <c r="DW15" s="256">
        <f>+DS15+DT15+DU15+DV15</f>
        <v>25</v>
      </c>
    </row>
    <row r="16" spans="1:127" s="1" customFormat="1" ht="18.75" customHeight="1" x14ac:dyDescent="0.2">
      <c r="A16" s="1" t="s">
        <v>201</v>
      </c>
      <c r="C16" s="61">
        <f>SUM(C14:C15)</f>
        <v>7.9194630872483245</v>
      </c>
      <c r="D16" s="61">
        <f>SUM(D14:D15)</f>
        <v>16.912751677852349</v>
      </c>
      <c r="E16" s="61">
        <f>SUM(E14:E15)</f>
        <v>18.523489932885905</v>
      </c>
      <c r="F16" s="61">
        <f>SUM(F14:F15)</f>
        <v>18.791946308724832</v>
      </c>
      <c r="G16" s="60">
        <f>SUM(G14:G15)</f>
        <v>62.147651006711392</v>
      </c>
      <c r="H16" s="61"/>
      <c r="I16" s="61">
        <f>SUM(I14:I15)</f>
        <v>14.765100671140939</v>
      </c>
      <c r="J16" s="61">
        <f>SUM(J14:J15)</f>
        <v>41.879194630872476</v>
      </c>
      <c r="K16" s="61">
        <f>SUM(K14:K15)</f>
        <v>25.906040268456376</v>
      </c>
      <c r="L16" s="61">
        <f>SUM(L14:L15)</f>
        <v>20.671140939597315</v>
      </c>
      <c r="M16" s="60">
        <f>SUM(M14:M15)</f>
        <v>103.22147651006712</v>
      </c>
      <c r="N16" s="61"/>
      <c r="O16" s="61">
        <f>SUM(O14:O15)</f>
        <v>21.476510067114098</v>
      </c>
      <c r="P16" s="61">
        <f>SUM(P14:P15)</f>
        <v>41.34228187919463</v>
      </c>
      <c r="Q16" s="61">
        <f>SUM(Q14:Q15)</f>
        <v>28.859060402684563</v>
      </c>
      <c r="R16" s="61">
        <f>SUM(R14:R15)</f>
        <v>40.939597315436245</v>
      </c>
      <c r="S16" s="60">
        <f>SUM(S14:S15)</f>
        <v>132.61744966442953</v>
      </c>
      <c r="T16" s="61"/>
      <c r="U16" s="61">
        <f>SUM(U14:U15)</f>
        <v>24.697986577181201</v>
      </c>
      <c r="V16" s="61">
        <f>SUM(V14:V15)</f>
        <v>41.476510067114091</v>
      </c>
      <c r="W16" s="61">
        <f>SUM(W14:W15)</f>
        <v>25.1006711409396</v>
      </c>
      <c r="X16" s="61">
        <f>SUM(X14:X15)</f>
        <v>-11.812080536912749</v>
      </c>
      <c r="Y16" s="60">
        <f>SUM(Y14:Y15)</f>
        <v>79.463087248322154</v>
      </c>
      <c r="Z16" s="61"/>
      <c r="AA16" s="61">
        <f>SUM(AA14:AA15)</f>
        <v>0.13422818791946245</v>
      </c>
      <c r="AB16" s="61">
        <f>SUM(AB14:AB15)</f>
        <v>16.107382550335572</v>
      </c>
      <c r="AC16" s="61">
        <f>SUM(AC14:AC15)</f>
        <v>14.36241610738255</v>
      </c>
      <c r="AD16" s="61">
        <f>SUM(AD14:AD15)</f>
        <v>8.4563758389261743</v>
      </c>
      <c r="AE16" s="60">
        <f>SUM(AE14:AE15)</f>
        <v>39.060402684563769</v>
      </c>
      <c r="AF16" s="61"/>
      <c r="AG16" s="61">
        <f>SUM(AG14:AG15)</f>
        <v>12.483221476510066</v>
      </c>
      <c r="AH16" s="61">
        <f>SUM(AH14:AH15)</f>
        <v>18.523489932885909</v>
      </c>
      <c r="AI16" s="61">
        <f>SUM(AI14:AI15)</f>
        <v>14.093959731543626</v>
      </c>
      <c r="AJ16" s="61">
        <f>SUM(AJ14:AJ15)</f>
        <v>1.2080536912751656</v>
      </c>
      <c r="AK16" s="60">
        <f>SUM(AK14:AK15)</f>
        <v>46.308724832214757</v>
      </c>
      <c r="AL16" s="61"/>
      <c r="AM16" s="61">
        <f>SUM(AM14:AM15)</f>
        <v>7.2483221476510078</v>
      </c>
      <c r="AN16" s="61">
        <f>SUM(AN14:AN15)</f>
        <v>4.6979865771812097</v>
      </c>
      <c r="AO16" s="61">
        <f>SUM(AO14:AO15)</f>
        <v>10.604026845637582</v>
      </c>
      <c r="AP16" s="61">
        <f>SUM(AP14:AP15)</f>
        <v>-0.40268456375838824</v>
      </c>
      <c r="AQ16" s="60">
        <f>SUM(AQ14:AQ15)</f>
        <v>22.147651006711428</v>
      </c>
      <c r="AR16" s="61"/>
      <c r="AS16" s="61">
        <f>SUM(AS14:AS15)</f>
        <v>5.9060402684563753</v>
      </c>
      <c r="AT16" s="61">
        <f>SUM(AT14:AT15)</f>
        <v>6.3087248322147635</v>
      </c>
      <c r="AU16" s="61">
        <f>SUM(AU14:AU15)</f>
        <v>7.7852348993288603</v>
      </c>
      <c r="AV16" s="61">
        <f>SUM(AV14:AV15)</f>
        <v>17.181208053691272</v>
      </c>
      <c r="AW16" s="60">
        <f>SUM(AW14:AW15)</f>
        <v>37.181208053691286</v>
      </c>
      <c r="AX16" s="61"/>
      <c r="AY16" s="61">
        <f>SUM(AY14:AY15)</f>
        <v>5.3691275167785246</v>
      </c>
      <c r="AZ16" s="61">
        <f>SUM(AZ14:AZ15)</f>
        <v>14.630872483221481</v>
      </c>
      <c r="BA16" s="61">
        <f>SUM(BA14:BA15)</f>
        <v>9.2617449664429543</v>
      </c>
      <c r="BB16" s="61">
        <f>SUM(BB14:BB15)</f>
        <v>17.449664429530195</v>
      </c>
      <c r="BC16" s="60">
        <f>SUM(BC14:BC15)</f>
        <v>46.711409395973142</v>
      </c>
      <c r="BD16" s="61"/>
      <c r="BE16" s="61">
        <f>SUM(BE14:BE15)</f>
        <v>18.255033557046978</v>
      </c>
      <c r="BF16" s="61">
        <f>SUM(BF14:BF15)</f>
        <v>7.9194630872483245</v>
      </c>
      <c r="BG16" s="61">
        <f>SUM(BG14:BG15)</f>
        <v>10.201342281879194</v>
      </c>
      <c r="BH16" s="61">
        <f>SUM(BH14:BH15)</f>
        <v>18.120805369127517</v>
      </c>
      <c r="BI16" s="60">
        <f>SUM(BI14:BI15)</f>
        <v>54.496644295301998</v>
      </c>
      <c r="BJ16" s="61"/>
      <c r="BK16" s="61">
        <f>SUM(BK14:BK15)</f>
        <v>16.644295302013429</v>
      </c>
      <c r="BL16" s="61">
        <f>SUM(BL14:BL15)</f>
        <v>-8.4563758389261743</v>
      </c>
      <c r="BM16" s="61">
        <f>SUM(BM14:BM15)</f>
        <v>10.067114093959729</v>
      </c>
      <c r="BN16" s="61">
        <f>SUM(BN14:BN15)</f>
        <v>9.8599999999999959</v>
      </c>
      <c r="BO16" s="60">
        <f>SUM(BO14:BO15)</f>
        <v>28.115033557046999</v>
      </c>
      <c r="BP16" s="61"/>
      <c r="BQ16" s="61">
        <f>SUM(BQ14:BQ15)</f>
        <v>15.000999999999998</v>
      </c>
      <c r="BR16" s="61">
        <f>SUM(BR14:BR15)</f>
        <v>27.4</v>
      </c>
      <c r="BS16" s="61">
        <f>SUM(BS14:BS15)</f>
        <v>-22.9</v>
      </c>
      <c r="BT16" s="61">
        <f>SUM(BT14:BT15)</f>
        <v>15.499999999999996</v>
      </c>
      <c r="BU16" s="60">
        <f>SUM(BU14:BU15)</f>
        <v>35.000999999999991</v>
      </c>
      <c r="BV16" s="61"/>
      <c r="BW16" s="61">
        <f>SUM(BW14:BW15)</f>
        <v>15.9</v>
      </c>
      <c r="BX16" s="61">
        <f>SUM(BX14:BX15)</f>
        <v>44.300000000000004</v>
      </c>
      <c r="BY16" s="61">
        <f>SUM(BY14:BY15)</f>
        <v>25.300000000000004</v>
      </c>
      <c r="BZ16" s="61">
        <f>SUM(BZ14:BZ15)</f>
        <v>-5.8999999999999879</v>
      </c>
      <c r="CA16" s="60">
        <f>SUM(CA14:CA15)</f>
        <v>79.600000000000023</v>
      </c>
      <c r="CC16" s="61">
        <f>SUM(CC14:CC15)</f>
        <v>-7.6999999999999975</v>
      </c>
      <c r="CD16" s="61">
        <f>SUM(CD14:CD15)</f>
        <v>2.8000000000000016</v>
      </c>
      <c r="CE16" s="61">
        <f>SUM(CE14:CE15)</f>
        <v>-5.6</v>
      </c>
      <c r="CF16" s="61">
        <f>SUM(CF14:CF15)</f>
        <v>-35.000000000000007</v>
      </c>
      <c r="CG16" s="60">
        <f>SUM(CG14:CG15)</f>
        <v>-45.500000000000007</v>
      </c>
      <c r="CI16" s="61">
        <f>SUM(CI14:CI15)</f>
        <v>-24.700000000000003</v>
      </c>
      <c r="CJ16" s="61">
        <f>SUM(CJ14:CJ15)</f>
        <v>-14.999999999999996</v>
      </c>
      <c r="CK16" s="61">
        <f>SUM(CK14:CK15)</f>
        <v>-19.399999999999999</v>
      </c>
      <c r="CL16" s="61">
        <f>SUM(CL14:CL15)</f>
        <v>-36.200000000000003</v>
      </c>
      <c r="CM16" s="60">
        <f>SUM(CM14:CM15)</f>
        <v>-95.3</v>
      </c>
      <c r="CO16" s="61">
        <f>SUM(CO14:CO15)</f>
        <v>-22.3</v>
      </c>
      <c r="CP16" s="61">
        <f>SUM(CP14:CP15)</f>
        <v>-15.900000000000002</v>
      </c>
      <c r="CQ16" s="61">
        <f>SUM(CQ14:CQ15)</f>
        <v>-8.8000000000000007</v>
      </c>
      <c r="CR16" s="61">
        <f>SUM(CR14:CR15)</f>
        <v>-17.599999999999998</v>
      </c>
      <c r="CS16" s="60">
        <f>SUM(CS14:CS15)</f>
        <v>-64.600000000000009</v>
      </c>
      <c r="CU16" s="61">
        <f>SUM(CU14:CU15)</f>
        <v>2.5000000000000013</v>
      </c>
      <c r="CV16" s="61">
        <f>SUM(CV14:CV15)</f>
        <v>14</v>
      </c>
      <c r="CW16" s="61">
        <f>SUM(CW14:CW15)</f>
        <v>1.9000000000000075</v>
      </c>
      <c r="CX16" s="61">
        <f>SUM(CX14:CX15)</f>
        <v>-13.999999999999996</v>
      </c>
      <c r="CY16" s="60">
        <f>SUM(CY14:CY15)</f>
        <v>4.400000000000011</v>
      </c>
      <c r="DA16" s="61">
        <f>SUM(DA14:DA15)</f>
        <v>13.799999999999995</v>
      </c>
      <c r="DB16" s="61">
        <f>SUM(DB14:DB15)</f>
        <v>16.299999999999997</v>
      </c>
      <c r="DC16" s="61">
        <f>SUM(DC14:DC15)</f>
        <v>20.9</v>
      </c>
      <c r="DD16" s="61">
        <f>SUM(DD14:DD15)</f>
        <v>27.300000000000004</v>
      </c>
      <c r="DE16" s="60">
        <f>SUM(DE14:DE15)</f>
        <v>78.299999999999955</v>
      </c>
      <c r="DG16" s="61">
        <f>SUM(DG14:DG15)</f>
        <v>39.4</v>
      </c>
      <c r="DH16" s="61">
        <f>SUM(DH14:DH15)</f>
        <v>47.8</v>
      </c>
      <c r="DI16" s="61">
        <f>+DI14+DI15</f>
        <v>30.300000000000004</v>
      </c>
      <c r="DJ16" s="61">
        <f>+DJ14+DJ15</f>
        <v>31.300000000000015</v>
      </c>
      <c r="DK16" s="60">
        <f>+DK14+DK15</f>
        <v>148.80000000000004</v>
      </c>
      <c r="DM16" s="3">
        <f>SUM(DM14:DM15)</f>
        <v>61</v>
      </c>
      <c r="DN16" s="3">
        <f>SUM(DN14:DN15)</f>
        <v>77</v>
      </c>
      <c r="DO16" s="3">
        <f>+DO14+DO15</f>
        <v>71</v>
      </c>
      <c r="DP16" s="3">
        <f>+DP14+DP15</f>
        <v>65</v>
      </c>
      <c r="DQ16" s="29">
        <f>+DQ14+DQ15</f>
        <v>274</v>
      </c>
      <c r="DS16" s="3">
        <f>SUM(DS14:DS15)</f>
        <v>76</v>
      </c>
      <c r="DT16" s="3">
        <f>SUM(DT14:DT15)</f>
        <v>70</v>
      </c>
      <c r="DU16" s="3">
        <f>+DU14+DU15</f>
        <v>88</v>
      </c>
      <c r="DV16" s="3">
        <f>+DV14+DV15</f>
        <v>0</v>
      </c>
      <c r="DW16" s="29">
        <f>+DW14+DW15</f>
        <v>234</v>
      </c>
    </row>
    <row r="17" spans="1:127" s="1" customFormat="1" ht="12.75" customHeight="1" x14ac:dyDescent="0.2">
      <c r="A17" s="2" t="s">
        <v>53</v>
      </c>
      <c r="C17" s="61">
        <v>0.13422818791946309</v>
      </c>
      <c r="D17" s="61">
        <v>0</v>
      </c>
      <c r="E17" s="61">
        <v>0</v>
      </c>
      <c r="F17" s="61">
        <v>0</v>
      </c>
      <c r="G17" s="60">
        <f>SUM(C17:F17)</f>
        <v>0.13422818791946309</v>
      </c>
      <c r="H17" s="61"/>
      <c r="I17" s="61">
        <v>0</v>
      </c>
      <c r="J17" s="61">
        <v>0</v>
      </c>
      <c r="K17" s="61"/>
      <c r="L17" s="61"/>
      <c r="M17" s="60">
        <f>SUM(I17:L17)</f>
        <v>0</v>
      </c>
      <c r="N17" s="61"/>
      <c r="O17" s="61">
        <v>0</v>
      </c>
      <c r="P17" s="61" t="s">
        <v>47</v>
      </c>
      <c r="Q17" s="61"/>
      <c r="R17" s="61"/>
      <c r="S17" s="60">
        <f>SUM(O17:R17)</f>
        <v>0</v>
      </c>
      <c r="T17" s="61"/>
      <c r="U17" s="61">
        <v>0</v>
      </c>
      <c r="V17" s="61"/>
      <c r="W17" s="61"/>
      <c r="X17" s="61"/>
      <c r="Y17" s="60">
        <f>SUM(U17:X17)</f>
        <v>0</v>
      </c>
      <c r="Z17" s="61"/>
      <c r="AA17" s="61">
        <v>0</v>
      </c>
      <c r="AB17" s="61"/>
      <c r="AC17" s="61"/>
      <c r="AD17" s="61"/>
      <c r="AE17" s="60">
        <f>SUM(AA17:AD17)</f>
        <v>0</v>
      </c>
      <c r="AF17" s="61"/>
      <c r="AG17" s="24">
        <v>0</v>
      </c>
      <c r="AH17" s="24">
        <v>0</v>
      </c>
      <c r="AI17" s="24">
        <v>0</v>
      </c>
      <c r="AJ17" s="24">
        <v>0</v>
      </c>
      <c r="AK17" s="69">
        <f>SUM(AG17:AJ17)</f>
        <v>0</v>
      </c>
      <c r="AL17" s="24"/>
      <c r="AM17" s="24">
        <v>0</v>
      </c>
      <c r="AN17" s="24">
        <v>0</v>
      </c>
      <c r="AO17" s="24">
        <v>0</v>
      </c>
      <c r="AP17" s="24">
        <v>0</v>
      </c>
      <c r="AQ17" s="69">
        <f>SUM(AM17:AP17)</f>
        <v>0</v>
      </c>
      <c r="AR17" s="24"/>
      <c r="AS17" s="24">
        <v>0</v>
      </c>
      <c r="AT17" s="24">
        <v>188.45637583892616</v>
      </c>
      <c r="AU17" s="24">
        <v>0</v>
      </c>
      <c r="AV17" s="24">
        <v>0.80536912751677847</v>
      </c>
      <c r="AW17" s="69">
        <f>SUM(AS17:AV17)</f>
        <v>189.26174496644293</v>
      </c>
      <c r="AX17" s="61"/>
      <c r="AY17" s="24"/>
      <c r="AZ17" s="24"/>
      <c r="BA17" s="24"/>
      <c r="BB17" s="24"/>
      <c r="BC17" s="69">
        <f>SUM(AY17:BB17)</f>
        <v>0</v>
      </c>
      <c r="BD17" s="61"/>
      <c r="BE17" s="24"/>
      <c r="BF17" s="24"/>
      <c r="BG17" s="24"/>
      <c r="BH17" s="24"/>
      <c r="BI17" s="69">
        <f>SUM(BE17:BH17)</f>
        <v>0</v>
      </c>
      <c r="BJ17" s="61"/>
      <c r="BK17" s="24"/>
      <c r="BL17" s="24"/>
      <c r="BM17" s="24"/>
      <c r="BN17" s="24"/>
      <c r="BO17" s="69">
        <f>SUM(BK17:BN17)</f>
        <v>0</v>
      </c>
      <c r="BP17" s="61"/>
      <c r="BQ17" s="24"/>
      <c r="BR17" s="24"/>
      <c r="BS17" s="24"/>
      <c r="BT17" s="24"/>
      <c r="BU17" s="69">
        <f>SUM(BQ17:BT17)</f>
        <v>0</v>
      </c>
      <c r="BV17" s="61"/>
      <c r="BW17" s="24"/>
      <c r="BX17" s="24"/>
      <c r="BY17" s="24"/>
      <c r="BZ17" s="24">
        <v>876.8</v>
      </c>
      <c r="CA17" s="69">
        <f>SUM(BW17:BZ17)</f>
        <v>876.8</v>
      </c>
      <c r="CC17" s="24"/>
      <c r="CD17" s="24"/>
      <c r="CE17" s="24"/>
      <c r="CF17" s="24"/>
      <c r="CG17" s="69">
        <f>SUM(CC17:CF17)</f>
        <v>0</v>
      </c>
      <c r="CI17" s="24"/>
      <c r="CJ17" s="24"/>
      <c r="CK17" s="24"/>
      <c r="CL17" s="24"/>
      <c r="CM17" s="69">
        <f>SUM(CI17:CL17)</f>
        <v>0</v>
      </c>
      <c r="CO17" s="24"/>
      <c r="CP17" s="24"/>
      <c r="CQ17" s="24"/>
      <c r="CR17" s="24"/>
      <c r="CS17" s="69">
        <f>SUM(CO17:CR17)</f>
        <v>0</v>
      </c>
      <c r="CU17" s="24"/>
      <c r="CV17" s="24"/>
      <c r="CW17" s="24"/>
      <c r="CX17" s="24"/>
      <c r="CY17" s="69">
        <f>SUM(CU17:CX17)</f>
        <v>0</v>
      </c>
      <c r="DA17" s="24">
        <v>3.1</v>
      </c>
      <c r="DB17" s="24">
        <v>-9.1</v>
      </c>
      <c r="DC17" s="24">
        <v>1.5</v>
      </c>
      <c r="DD17" s="24">
        <v>11.8</v>
      </c>
      <c r="DE17" s="69">
        <f>SUM(DA17:DD17)</f>
        <v>7.3000000000000007</v>
      </c>
      <c r="DG17" s="24">
        <v>-1.9</v>
      </c>
      <c r="DH17" s="24">
        <v>2.7</v>
      </c>
      <c r="DI17" s="24">
        <v>1.6</v>
      </c>
      <c r="DJ17" s="24">
        <f>+DK17-DG17-DH17-DI17</f>
        <v>3.1999999999999997</v>
      </c>
      <c r="DK17" s="60">
        <v>5.6</v>
      </c>
      <c r="DM17" s="4">
        <v>-3</v>
      </c>
      <c r="DN17" s="4">
        <v>104</v>
      </c>
      <c r="DO17" s="4">
        <v>0</v>
      </c>
      <c r="DP17" s="4">
        <v>0</v>
      </c>
      <c r="DQ17" s="29">
        <f>+DM17+DN17+DO17</f>
        <v>101</v>
      </c>
      <c r="DS17" s="4">
        <v>0</v>
      </c>
      <c r="DT17" s="4">
        <v>0</v>
      </c>
      <c r="DU17" s="4">
        <v>0</v>
      </c>
      <c r="DV17" s="4"/>
      <c r="DW17" s="29">
        <f>+DS17+DT17+DU17</f>
        <v>0</v>
      </c>
    </row>
    <row r="18" spans="1:127" s="36" customFormat="1" x14ac:dyDescent="0.2">
      <c r="A18" s="36" t="s">
        <v>5</v>
      </c>
      <c r="C18" s="62">
        <v>-0.93959731543624159</v>
      </c>
      <c r="D18" s="62">
        <v>-2.8187919463087248</v>
      </c>
      <c r="E18" s="62">
        <v>-2.8187919463087248</v>
      </c>
      <c r="F18" s="62">
        <v>-7.2483221476510069</v>
      </c>
      <c r="G18" s="63">
        <f>SUM(C18:F18)</f>
        <v>-13.825503355704697</v>
      </c>
      <c r="H18" s="62"/>
      <c r="I18" s="62">
        <v>-3.3557046979865772</v>
      </c>
      <c r="J18" s="62">
        <v>-11.275167785234899</v>
      </c>
      <c r="K18" s="62">
        <v>-6.3087248322147653</v>
      </c>
      <c r="L18" s="62">
        <v>-1.3422818791946309</v>
      </c>
      <c r="M18" s="63">
        <f>SUM(I18:L18)</f>
        <v>-22.281879194630871</v>
      </c>
      <c r="N18" s="62"/>
      <c r="O18" s="62">
        <v>-5.3691275167785237</v>
      </c>
      <c r="P18" s="62">
        <v>-11.275167785234899</v>
      </c>
      <c r="Q18" s="62">
        <v>-6.4429530201342278</v>
      </c>
      <c r="R18" s="62">
        <v>0.53691275167785235</v>
      </c>
      <c r="S18" s="63">
        <f>SUM(O18:R18)</f>
        <v>-22.550335570469798</v>
      </c>
      <c r="T18" s="62"/>
      <c r="U18" s="62">
        <v>-6.174496644295302</v>
      </c>
      <c r="V18" s="62">
        <v>-10.335570469798657</v>
      </c>
      <c r="W18" s="62">
        <v>-6.4429530201342278</v>
      </c>
      <c r="X18" s="62">
        <v>-2.2818791946308723</v>
      </c>
      <c r="Y18" s="63">
        <f>SUM(U18:X18)</f>
        <v>-25.234899328859061</v>
      </c>
      <c r="Z18" s="62"/>
      <c r="AA18" s="62">
        <v>-0.13422818791946309</v>
      </c>
      <c r="AB18" s="62">
        <v>-3.4899328859060401</v>
      </c>
      <c r="AC18" s="62">
        <v>-4.8322147651006713</v>
      </c>
      <c r="AD18" s="62">
        <v>1.3422818791946309</v>
      </c>
      <c r="AE18" s="63">
        <f>SUM(AA18:AD18)</f>
        <v>-7.1140939597315436</v>
      </c>
      <c r="AF18" s="62"/>
      <c r="AG18" s="62">
        <v>-3.7583892617449663</v>
      </c>
      <c r="AH18" s="62">
        <v>-5.5033557046979862</v>
      </c>
      <c r="AI18" s="62">
        <v>-3.3557046979865772</v>
      </c>
      <c r="AJ18" s="62">
        <v>2.5503355704697985</v>
      </c>
      <c r="AK18" s="63">
        <f>SUM(AG18:AJ18)</f>
        <v>-10.067114093959731</v>
      </c>
      <c r="AL18" s="62"/>
      <c r="AM18" s="62">
        <v>-0.40268456375838924</v>
      </c>
      <c r="AN18" s="62">
        <v>-0.67114093959731547</v>
      </c>
      <c r="AO18" s="62">
        <v>-4.8322147651006713</v>
      </c>
      <c r="AP18" s="62">
        <v>0.80536912751677847</v>
      </c>
      <c r="AQ18" s="63">
        <f>SUM(AM18:AP18)</f>
        <v>-5.1006711409395979</v>
      </c>
      <c r="AR18" s="62"/>
      <c r="AS18" s="62">
        <v>-1.7449664429530201</v>
      </c>
      <c r="AT18" s="62">
        <v>-1.6107382550335569</v>
      </c>
      <c r="AU18" s="62">
        <v>-2.8187919463087248</v>
      </c>
      <c r="AV18" s="62">
        <v>-4.6979865771812079</v>
      </c>
      <c r="AW18" s="63">
        <f>SUM(AS18:AV18)</f>
        <v>-10.872483221476511</v>
      </c>
      <c r="AX18" s="62"/>
      <c r="AY18" s="62">
        <v>-2.0134228187919461</v>
      </c>
      <c r="AZ18" s="62">
        <v>-4.4295302013422821</v>
      </c>
      <c r="BA18" s="62">
        <v>-2.1476510067114094</v>
      </c>
      <c r="BB18" s="62">
        <v>-4.1610738255033555</v>
      </c>
      <c r="BC18" s="63">
        <f>SUM(AY18:BB18)</f>
        <v>-12.751677852348994</v>
      </c>
      <c r="BD18" s="62"/>
      <c r="BE18" s="62">
        <v>-6.5771812080536911</v>
      </c>
      <c r="BF18" s="62">
        <v>-1.6107382550335569</v>
      </c>
      <c r="BG18" s="62">
        <v>-2.1476510067114094</v>
      </c>
      <c r="BH18" s="62">
        <v>-6.5771812080536911</v>
      </c>
      <c r="BI18" s="63">
        <f>SUM(BE18:BH18)</f>
        <v>-16.912751677852349</v>
      </c>
      <c r="BJ18" s="62"/>
      <c r="BK18" s="62">
        <v>-4.4295302013422821</v>
      </c>
      <c r="BL18" s="62">
        <v>-19.19463087248322</v>
      </c>
      <c r="BM18" s="62">
        <v>-0.40268456375838924</v>
      </c>
      <c r="BN18" s="62">
        <v>-2.9</v>
      </c>
      <c r="BO18" s="63">
        <f>SUM(BK18:BN18)</f>
        <v>-26.926845637583888</v>
      </c>
      <c r="BP18" s="62"/>
      <c r="BQ18" s="62">
        <v>-4.4000000000000004</v>
      </c>
      <c r="BR18" s="62">
        <v>-7.2</v>
      </c>
      <c r="BS18" s="62">
        <v>-1.9</v>
      </c>
      <c r="BT18" s="62">
        <v>-9.4</v>
      </c>
      <c r="BU18" s="63">
        <f>SUM(BQ18:BT18)</f>
        <v>-22.900000000000002</v>
      </c>
      <c r="BV18" s="62"/>
      <c r="BW18" s="62">
        <v>-3.3</v>
      </c>
      <c r="BX18" s="62">
        <v>-11.8</v>
      </c>
      <c r="BY18" s="62">
        <v>-7.7</v>
      </c>
      <c r="BZ18" s="62">
        <f>22.8-27.6</f>
        <v>-4.8000000000000007</v>
      </c>
      <c r="CA18" s="63">
        <f>SUM(BW18:BZ18)</f>
        <v>-27.6</v>
      </c>
      <c r="CC18" s="62">
        <v>2.7</v>
      </c>
      <c r="CD18" s="62">
        <v>-1.1000000000000001</v>
      </c>
      <c r="CE18" s="62">
        <v>2.8</v>
      </c>
      <c r="CF18" s="62">
        <f>-0.8-4.4</f>
        <v>-5.2</v>
      </c>
      <c r="CG18" s="63">
        <f>SUM(CC18:CF18)</f>
        <v>-0.79999999999999982</v>
      </c>
      <c r="CI18" s="62">
        <v>5.7</v>
      </c>
      <c r="CJ18" s="62">
        <v>-0.1</v>
      </c>
      <c r="CK18" s="62">
        <v>0.2</v>
      </c>
      <c r="CL18" s="62">
        <v>13.5</v>
      </c>
      <c r="CM18" s="63">
        <f>SUM(CI18:CL18)</f>
        <v>19.3</v>
      </c>
      <c r="CO18" s="62">
        <v>1.7</v>
      </c>
      <c r="CP18" s="62">
        <v>2.5</v>
      </c>
      <c r="CQ18" s="62">
        <v>-1.1000000000000001</v>
      </c>
      <c r="CR18" s="62">
        <v>-13</v>
      </c>
      <c r="CS18" s="63">
        <f>SUM(CO18:CR18)</f>
        <v>-9.9</v>
      </c>
      <c r="CU18" s="62">
        <v>-0.8</v>
      </c>
      <c r="CV18" s="62">
        <v>-2.9</v>
      </c>
      <c r="CW18" s="62">
        <v>-1.7</v>
      </c>
      <c r="CX18" s="62">
        <v>5.0999999999999996</v>
      </c>
      <c r="CY18" s="63">
        <f>SUM(CU18:CX18)</f>
        <v>-0.30000000000000071</v>
      </c>
      <c r="DA18" s="62">
        <v>-2</v>
      </c>
      <c r="DB18" s="62">
        <v>-2.1</v>
      </c>
      <c r="DC18" s="62">
        <v>-2.5</v>
      </c>
      <c r="DD18" s="62">
        <v>-16.600000000000001</v>
      </c>
      <c r="DE18" s="63">
        <f>SUM(DA18:DD18)</f>
        <v>-23.200000000000003</v>
      </c>
      <c r="DG18" s="62">
        <v>-9.9</v>
      </c>
      <c r="DH18" s="62">
        <v>-12.5</v>
      </c>
      <c r="DI18" s="62">
        <v>-6.9</v>
      </c>
      <c r="DJ18" s="62">
        <f>+DK18-DG18-DH18-DI18</f>
        <v>-0.80000000000000249</v>
      </c>
      <c r="DK18" s="63">
        <v>-30.1</v>
      </c>
      <c r="DM18" s="242">
        <v>-13</v>
      </c>
      <c r="DN18" s="242">
        <v>-2</v>
      </c>
      <c r="DO18" s="242">
        <v>-14</v>
      </c>
      <c r="DP18" s="242">
        <v>-9</v>
      </c>
      <c r="DQ18" s="256">
        <f>+DM18+DN18+DO18+DP18</f>
        <v>-38</v>
      </c>
      <c r="DS18" s="242">
        <v>-19</v>
      </c>
      <c r="DT18" s="242">
        <v>-16</v>
      </c>
      <c r="DU18" s="242">
        <v>-21</v>
      </c>
      <c r="DV18" s="242"/>
      <c r="DW18" s="256">
        <f>+DS18+DT18+DU18+DV18</f>
        <v>-56</v>
      </c>
    </row>
    <row r="19" spans="1:127" s="37" customFormat="1" ht="18.75" customHeight="1" x14ac:dyDescent="0.2">
      <c r="A19" s="37" t="s">
        <v>6</v>
      </c>
      <c r="C19" s="64">
        <f>SUM(C16:C18)</f>
        <v>7.1140939597315462</v>
      </c>
      <c r="D19" s="64">
        <f>SUM(D16:D18)</f>
        <v>14.093959731543624</v>
      </c>
      <c r="E19" s="64">
        <f>SUM(E16:E18)</f>
        <v>15.70469798657718</v>
      </c>
      <c r="F19" s="64">
        <f>SUM(F16:F18)</f>
        <v>11.543624161073826</v>
      </c>
      <c r="G19" s="65">
        <f>SUM(G16:G18)</f>
        <v>48.456375838926157</v>
      </c>
      <c r="H19" s="64"/>
      <c r="I19" s="64">
        <f>SUM(I16:I18)</f>
        <v>11.409395973154361</v>
      </c>
      <c r="J19" s="64">
        <f>SUM(J16:J18)</f>
        <v>30.604026845637577</v>
      </c>
      <c r="K19" s="64">
        <f>SUM(K16:K18)</f>
        <v>19.597315436241612</v>
      </c>
      <c r="L19" s="64">
        <f>SUM(L16:L18)</f>
        <v>19.328859060402685</v>
      </c>
      <c r="M19" s="65">
        <f>SUM(M16:M18)</f>
        <v>80.939597315436245</v>
      </c>
      <c r="N19" s="64"/>
      <c r="O19" s="64">
        <f>SUM(O16:O18)</f>
        <v>16.107382550335576</v>
      </c>
      <c r="P19" s="64">
        <f>SUM(P16:P18)</f>
        <v>30.067114093959731</v>
      </c>
      <c r="Q19" s="64">
        <f>SUM(Q16:Q18)</f>
        <v>22.416107382550337</v>
      </c>
      <c r="R19" s="64">
        <f>SUM(R16:R18)</f>
        <v>41.476510067114098</v>
      </c>
      <c r="S19" s="65">
        <f>SUM(S16:S18)</f>
        <v>110.06711409395973</v>
      </c>
      <c r="T19" s="64"/>
      <c r="U19" s="64">
        <f>SUM(U16:U18)</f>
        <v>18.523489932885898</v>
      </c>
      <c r="V19" s="64">
        <f>SUM(V16:V18)</f>
        <v>31.140939597315434</v>
      </c>
      <c r="W19" s="64">
        <f>SUM(W16:W18)</f>
        <v>18.65771812080537</v>
      </c>
      <c r="X19" s="64">
        <f>SUM(X16:X18)</f>
        <v>-14.09395973154362</v>
      </c>
      <c r="Y19" s="65">
        <f>SUM(Y16:Y18)</f>
        <v>54.228187919463096</v>
      </c>
      <c r="Z19" s="64"/>
      <c r="AA19" s="64">
        <f>SUM(AA16:AA18)</f>
        <v>-6.3837823915946501E-16</v>
      </c>
      <c r="AB19" s="64">
        <f>SUM(AB16:AB18)</f>
        <v>12.617449664429532</v>
      </c>
      <c r="AC19" s="64">
        <f>SUM(AC16:AC18)</f>
        <v>9.5302013422818792</v>
      </c>
      <c r="AD19" s="64">
        <f>SUM(AD16:AD18)</f>
        <v>9.7986577181208059</v>
      </c>
      <c r="AE19" s="65">
        <f>SUM(AE16:AE18)</f>
        <v>31.946308724832225</v>
      </c>
      <c r="AF19" s="64"/>
      <c r="AG19" s="64">
        <f>SUM(AG16:AG18)</f>
        <v>8.7248322147650992</v>
      </c>
      <c r="AH19" s="64">
        <f>SUM(AH16:AH18)</f>
        <v>13.020134228187922</v>
      </c>
      <c r="AI19" s="64">
        <f>SUM(AI16:AI18)</f>
        <v>10.738255033557049</v>
      </c>
      <c r="AJ19" s="64">
        <f>SUM(AJ16:AJ18)</f>
        <v>3.7583892617449641</v>
      </c>
      <c r="AK19" s="65">
        <f>SUM(AK16:AK18)</f>
        <v>36.241610738255027</v>
      </c>
      <c r="AL19" s="64"/>
      <c r="AM19" s="64">
        <f>SUM(AM16:AM18)</f>
        <v>6.8456375838926187</v>
      </c>
      <c r="AN19" s="64">
        <f>SUM(AN16:AN18)</f>
        <v>4.0268456375838939</v>
      </c>
      <c r="AO19" s="64">
        <f>SUM(AO16:AO18)</f>
        <v>5.7718120805369111</v>
      </c>
      <c r="AP19" s="64">
        <f>SUM(AP16:AP18)</f>
        <v>0.40268456375839023</v>
      </c>
      <c r="AQ19" s="65">
        <f>SUM(AQ16:AQ18)</f>
        <v>17.046979865771831</v>
      </c>
      <c r="AR19" s="64"/>
      <c r="AS19" s="64">
        <f>SUM(AS16:AS18)</f>
        <v>4.1610738255033555</v>
      </c>
      <c r="AT19" s="64">
        <f>SUM(AT16:AT18)</f>
        <v>193.15436241610735</v>
      </c>
      <c r="AU19" s="64">
        <f>SUM(AU16:AU18)</f>
        <v>4.9664429530201355</v>
      </c>
      <c r="AV19" s="64">
        <f>SUM(AV16:AV18)</f>
        <v>13.288590604026844</v>
      </c>
      <c r="AW19" s="65">
        <f>SUM(AW16:AW18)</f>
        <v>215.57046979865771</v>
      </c>
      <c r="AX19" s="64"/>
      <c r="AY19" s="64">
        <f>SUM(AY16:AY18)</f>
        <v>3.3557046979865786</v>
      </c>
      <c r="AZ19" s="64">
        <f>SUM(AZ16:AZ18)</f>
        <v>10.201342281879199</v>
      </c>
      <c r="BA19" s="64">
        <f>SUM(BA16:BA18)</f>
        <v>7.1140939597315445</v>
      </c>
      <c r="BB19" s="64">
        <f>SUM(BB16:BB18)</f>
        <v>13.28859060402684</v>
      </c>
      <c r="BC19" s="65">
        <f>SUM(BC16:BC18)</f>
        <v>33.959731543624144</v>
      </c>
      <c r="BD19" s="64"/>
      <c r="BE19" s="64">
        <f>SUM(BE16:BE18)</f>
        <v>11.677852348993287</v>
      </c>
      <c r="BF19" s="64">
        <f>SUM(BF16:BF18)</f>
        <v>6.308724832214768</v>
      </c>
      <c r="BG19" s="64">
        <f>SUM(BG16:BG18)</f>
        <v>8.0536912751677843</v>
      </c>
      <c r="BH19" s="64">
        <f>SUM(BH16:BH18)</f>
        <v>11.543624161073826</v>
      </c>
      <c r="BI19" s="65">
        <f>SUM(BI16:BI18)</f>
        <v>37.583892617449649</v>
      </c>
      <c r="BJ19" s="64"/>
      <c r="BK19" s="64">
        <f>SUM(BK16:BK18)</f>
        <v>12.214765100671148</v>
      </c>
      <c r="BL19" s="64">
        <f>SUM(BL16:BL18)</f>
        <v>-27.651006711409394</v>
      </c>
      <c r="BM19" s="64">
        <f>SUM(BM16:BM18)</f>
        <v>9.664429530201339</v>
      </c>
      <c r="BN19" s="64">
        <f>SUM(BN16:BN18)</f>
        <v>6.9599999999999955</v>
      </c>
      <c r="BO19" s="65">
        <f>SUM(BO16:BO18)</f>
        <v>1.1881879194631111</v>
      </c>
      <c r="BP19" s="64"/>
      <c r="BQ19" s="64">
        <f>SUM(BQ16:BQ18)</f>
        <v>10.600999999999997</v>
      </c>
      <c r="BR19" s="64">
        <f>SUM(BR16:BR18)</f>
        <v>20.2</v>
      </c>
      <c r="BS19" s="64">
        <f>SUM(BS16:BS18)</f>
        <v>-24.799999999999997</v>
      </c>
      <c r="BT19" s="64">
        <f>SUM(BT16:BT18)</f>
        <v>6.0999999999999961</v>
      </c>
      <c r="BU19" s="65">
        <f>SUM(BU16:BU18)</f>
        <v>12.100999999999988</v>
      </c>
      <c r="BV19" s="64"/>
      <c r="BW19" s="64">
        <f>SUM(BW16:BW18)</f>
        <v>12.600000000000001</v>
      </c>
      <c r="BX19" s="64">
        <f>SUM(BX16:BX18)</f>
        <v>32.5</v>
      </c>
      <c r="BY19" s="64">
        <f>SUM(BY16:BY18)</f>
        <v>17.600000000000005</v>
      </c>
      <c r="BZ19" s="64">
        <f>SUM(BZ16:BZ18)</f>
        <v>866.1</v>
      </c>
      <c r="CA19" s="65">
        <f>SUM(CA16:CA18)</f>
        <v>928.8</v>
      </c>
      <c r="CC19" s="64">
        <f>SUM(CC16:CC18)</f>
        <v>-4.9999999999999973</v>
      </c>
      <c r="CD19" s="64">
        <f>SUM(CD16:CD18)</f>
        <v>1.7000000000000015</v>
      </c>
      <c r="CE19" s="64">
        <f>SUM(CE16:CE18)</f>
        <v>-2.8</v>
      </c>
      <c r="CF19" s="64">
        <f>SUM(CF16:CF18)</f>
        <v>-40.20000000000001</v>
      </c>
      <c r="CG19" s="65">
        <f>SUM(CG16:CG18)</f>
        <v>-46.300000000000004</v>
      </c>
      <c r="CI19" s="64">
        <f>SUM(CI16:CI18)</f>
        <v>-19.000000000000004</v>
      </c>
      <c r="CJ19" s="64">
        <f>SUM(CJ16:CJ18)</f>
        <v>-15.099999999999996</v>
      </c>
      <c r="CK19" s="64">
        <f>SUM(CK16:CK18)</f>
        <v>-19.2</v>
      </c>
      <c r="CL19" s="64">
        <f>SUM(CL16:CL18)</f>
        <v>-22.700000000000003</v>
      </c>
      <c r="CM19" s="65">
        <f>SUM(CM16:CM18)</f>
        <v>-76</v>
      </c>
      <c r="CO19" s="64">
        <f>SUM(CO16:CO18)</f>
        <v>-20.6</v>
      </c>
      <c r="CP19" s="64">
        <f>SUM(CP16:CP18)</f>
        <v>-13.400000000000002</v>
      </c>
      <c r="CQ19" s="64">
        <f>SUM(CQ16:CQ18)</f>
        <v>-9.9</v>
      </c>
      <c r="CR19" s="64">
        <f>SUM(CR16:CR18)</f>
        <v>-30.599999999999998</v>
      </c>
      <c r="CS19" s="65">
        <f>SUM(CS16:CS18)</f>
        <v>-74.500000000000014</v>
      </c>
      <c r="CU19" s="64">
        <f>SUM(CU16:CU18)</f>
        <v>1.7000000000000013</v>
      </c>
      <c r="CV19" s="64">
        <f>SUM(CV16:CV18)</f>
        <v>11.1</v>
      </c>
      <c r="CW19" s="64">
        <f>SUM(CW16:CW18)</f>
        <v>0.20000000000000751</v>
      </c>
      <c r="CX19" s="64">
        <f>SUM(CX16:CX18)</f>
        <v>-8.8999999999999968</v>
      </c>
      <c r="CY19" s="65">
        <f>SUM(CY16:CY18)</f>
        <v>4.1000000000000103</v>
      </c>
      <c r="DA19" s="64">
        <f>SUM(DA16:DA18)</f>
        <v>14.899999999999995</v>
      </c>
      <c r="DB19" s="64">
        <f>SUM(DB16:DB18)</f>
        <v>5.0999999999999979</v>
      </c>
      <c r="DC19" s="64">
        <f>SUM(DC16:DC18)</f>
        <v>19.899999999999999</v>
      </c>
      <c r="DD19" s="64">
        <f>SUM(DD16:DD18)</f>
        <v>22.500000000000007</v>
      </c>
      <c r="DE19" s="65">
        <f>SUM(DE16:DE18)</f>
        <v>62.399999999999949</v>
      </c>
      <c r="DG19" s="64">
        <f>SUM(DG16:DG18)</f>
        <v>27.6</v>
      </c>
      <c r="DH19" s="64">
        <f>SUM(DH16:DH18)</f>
        <v>38</v>
      </c>
      <c r="DI19" s="64">
        <f>+DI16+DI17+DI18</f>
        <v>25.000000000000007</v>
      </c>
      <c r="DJ19" s="64">
        <f>+DJ16+DJ17+DJ18</f>
        <v>33.70000000000001</v>
      </c>
      <c r="DK19" s="65">
        <f>+DK16+DK17+DK18</f>
        <v>124.30000000000004</v>
      </c>
      <c r="DM19" s="38">
        <f>SUM(DM16:DM18)</f>
        <v>45</v>
      </c>
      <c r="DN19" s="38">
        <f>SUM(DN16:DN18)</f>
        <v>179</v>
      </c>
      <c r="DO19" s="38">
        <f>+DO16+DO17+DO18</f>
        <v>57</v>
      </c>
      <c r="DP19" s="38">
        <f>+DP16+DP17+DP18</f>
        <v>56</v>
      </c>
      <c r="DQ19" s="255">
        <f>+DQ16+DQ17+DQ18</f>
        <v>337</v>
      </c>
      <c r="DS19" s="38">
        <f>SUM(DS16:DS18)</f>
        <v>57</v>
      </c>
      <c r="DT19" s="38">
        <f>SUM(DT16:DT18)</f>
        <v>54</v>
      </c>
      <c r="DU19" s="38">
        <f>+DU16+DU17+DU18</f>
        <v>67</v>
      </c>
      <c r="DV19" s="38">
        <f>+DV16+DV17+DV18</f>
        <v>0</v>
      </c>
      <c r="DW19" s="255">
        <f>+DW16+DW17+DW18</f>
        <v>178</v>
      </c>
    </row>
    <row r="20" spans="1:127" s="36" customFormat="1" ht="18.75" customHeight="1" x14ac:dyDescent="0.2">
      <c r="A20" s="36" t="s">
        <v>7</v>
      </c>
      <c r="C20" s="62">
        <v>-0.13422818791946309</v>
      </c>
      <c r="D20" s="62">
        <v>-0.26845637583892618</v>
      </c>
      <c r="E20" s="62">
        <v>-0.26845637583892618</v>
      </c>
      <c r="F20" s="62">
        <v>0.13422818791946309</v>
      </c>
      <c r="G20" s="66">
        <f>SUM(C20:F20)</f>
        <v>-0.53691275167785224</v>
      </c>
      <c r="H20" s="62"/>
      <c r="I20" s="62">
        <v>0</v>
      </c>
      <c r="J20" s="62">
        <v>-1.0738255033557047</v>
      </c>
      <c r="K20" s="62">
        <v>-1.0738255033557047</v>
      </c>
      <c r="L20" s="62">
        <v>-0.67114093959731547</v>
      </c>
      <c r="M20" s="66">
        <f>SUM(I20:L20)</f>
        <v>-2.8187919463087248</v>
      </c>
      <c r="N20" s="62"/>
      <c r="O20" s="62">
        <v>-0.13422818791946309</v>
      </c>
      <c r="P20" s="62">
        <v>-0.53691275167785235</v>
      </c>
      <c r="Q20" s="62">
        <v>-0.53691275167785235</v>
      </c>
      <c r="R20" s="62">
        <v>-0.80536912751677847</v>
      </c>
      <c r="S20" s="66">
        <f>SUM(O20:R20)</f>
        <v>-2.0134228187919465</v>
      </c>
      <c r="T20" s="62"/>
      <c r="U20" s="62">
        <v>-0.26845637583892618</v>
      </c>
      <c r="V20" s="62">
        <v>-0.13422818791946309</v>
      </c>
      <c r="W20" s="62">
        <v>-0.67114093959731547</v>
      </c>
      <c r="X20" s="62">
        <v>0.67114093959731547</v>
      </c>
      <c r="Y20" s="66">
        <f>SUM(U20:X20)</f>
        <v>-0.40268456375838924</v>
      </c>
      <c r="Z20" s="62"/>
      <c r="AA20" s="62">
        <v>0.26845637583892618</v>
      </c>
      <c r="AB20" s="62">
        <v>0</v>
      </c>
      <c r="AC20" s="62">
        <v>-0.13422818791946309</v>
      </c>
      <c r="AD20" s="62">
        <v>0.26845637583892618</v>
      </c>
      <c r="AE20" s="66">
        <f>SUM(AA20:AD20)</f>
        <v>0.40268456375838924</v>
      </c>
      <c r="AF20" s="62"/>
      <c r="AG20" s="62">
        <v>0</v>
      </c>
      <c r="AH20" s="62">
        <v>-0.26845637583892618</v>
      </c>
      <c r="AI20" s="62">
        <v>-0.13422818791946309</v>
      </c>
      <c r="AJ20" s="62">
        <v>-0.13422818791946309</v>
      </c>
      <c r="AK20" s="66">
        <f>SUM(AG20:AJ20)</f>
        <v>-0.53691275167785235</v>
      </c>
      <c r="AL20" s="62"/>
      <c r="AM20" s="62">
        <v>0</v>
      </c>
      <c r="AN20" s="62">
        <v>0</v>
      </c>
      <c r="AO20" s="62">
        <v>-0.13422818791946309</v>
      </c>
      <c r="AP20" s="62">
        <v>-0.13422818791946309</v>
      </c>
      <c r="AQ20" s="66">
        <f>SUM(AM20:AP20)</f>
        <v>-0.26845637583892618</v>
      </c>
      <c r="AR20" s="62"/>
      <c r="AS20" s="62">
        <v>-0.13422818791946309</v>
      </c>
      <c r="AT20" s="62">
        <v>0.13422818791946309</v>
      </c>
      <c r="AU20" s="62">
        <v>-0.13422818791946309</v>
      </c>
      <c r="AV20" s="62">
        <v>-0.13422818791946309</v>
      </c>
      <c r="AW20" s="66">
        <f>SUM(AS20:AV20)</f>
        <v>-0.26845637583892618</v>
      </c>
      <c r="AX20" s="62"/>
      <c r="AY20" s="62">
        <v>0</v>
      </c>
      <c r="AZ20" s="62">
        <v>-0.13422818791946309</v>
      </c>
      <c r="BA20" s="62">
        <v>0</v>
      </c>
      <c r="BB20" s="62">
        <v>0</v>
      </c>
      <c r="BC20" s="66">
        <f>SUM(AY20:BB20)</f>
        <v>-0.13422818791946309</v>
      </c>
      <c r="BD20" s="62"/>
      <c r="BE20" s="62">
        <v>0</v>
      </c>
      <c r="BF20" s="62">
        <v>-0.13422818791946309</v>
      </c>
      <c r="BG20" s="62">
        <v>0</v>
      </c>
      <c r="BH20" s="62">
        <v>0.13422818791946309</v>
      </c>
      <c r="BI20" s="66">
        <f>SUM(BE20:BH20)</f>
        <v>0</v>
      </c>
      <c r="BJ20" s="62"/>
      <c r="BK20" s="62">
        <v>0</v>
      </c>
      <c r="BL20" s="62">
        <v>-0.13422818791946309</v>
      </c>
      <c r="BM20" s="62">
        <v>0</v>
      </c>
      <c r="BN20" s="62">
        <v>-0.1</v>
      </c>
      <c r="BO20" s="66">
        <f>SUM(BK20:BN20)</f>
        <v>-0.23422818791946309</v>
      </c>
      <c r="BP20" s="62"/>
      <c r="BQ20" s="62">
        <v>0</v>
      </c>
      <c r="BR20" s="62">
        <v>0</v>
      </c>
      <c r="BS20" s="62">
        <v>0</v>
      </c>
      <c r="BT20" s="62">
        <v>0</v>
      </c>
      <c r="BU20" s="66">
        <f>SUM(BQ20:BT20)</f>
        <v>0</v>
      </c>
      <c r="BV20" s="62"/>
      <c r="BW20" s="62">
        <v>0</v>
      </c>
      <c r="BX20" s="62">
        <v>0</v>
      </c>
      <c r="BY20" s="62">
        <v>0</v>
      </c>
      <c r="BZ20" s="62">
        <v>1</v>
      </c>
      <c r="CA20" s="66">
        <f>SUM(BW20:BZ20)</f>
        <v>1</v>
      </c>
      <c r="CC20" s="62">
        <v>0</v>
      </c>
      <c r="CD20" s="62">
        <v>0</v>
      </c>
      <c r="CE20" s="62">
        <v>0</v>
      </c>
      <c r="CF20" s="62">
        <v>0</v>
      </c>
      <c r="CG20" s="66">
        <f>SUM(CC20:CF20)</f>
        <v>0</v>
      </c>
      <c r="CI20" s="62">
        <v>0</v>
      </c>
      <c r="CJ20" s="62">
        <v>0</v>
      </c>
      <c r="CK20" s="62">
        <v>0</v>
      </c>
      <c r="CL20" s="62">
        <v>0</v>
      </c>
      <c r="CM20" s="66">
        <f>SUM(CI20:CL20)</f>
        <v>0</v>
      </c>
      <c r="CO20" s="62">
        <v>0</v>
      </c>
      <c r="CP20" s="62">
        <v>0</v>
      </c>
      <c r="CQ20" s="62">
        <v>0</v>
      </c>
      <c r="CR20" s="62">
        <v>0</v>
      </c>
      <c r="CS20" s="66">
        <f>SUM(CO20:CR20)</f>
        <v>0</v>
      </c>
      <c r="CU20" s="62">
        <v>0</v>
      </c>
      <c r="CV20" s="62">
        <v>0</v>
      </c>
      <c r="CW20" s="62">
        <v>0</v>
      </c>
      <c r="CX20" s="62">
        <v>0</v>
      </c>
      <c r="CY20" s="66">
        <f>SUM(CU20:CX20)</f>
        <v>0</v>
      </c>
      <c r="DA20" s="62">
        <v>0</v>
      </c>
      <c r="DB20" s="62">
        <v>0</v>
      </c>
      <c r="DC20" s="62">
        <v>0</v>
      </c>
      <c r="DD20" s="62">
        <v>0</v>
      </c>
      <c r="DE20" s="66">
        <f>SUM(DA20:DD20)</f>
        <v>0</v>
      </c>
      <c r="DG20" s="62">
        <v>0</v>
      </c>
      <c r="DH20" s="62">
        <v>0</v>
      </c>
      <c r="DI20" s="62">
        <v>0</v>
      </c>
      <c r="DJ20" s="62">
        <v>0</v>
      </c>
      <c r="DK20" s="66">
        <f t="shared" ref="DK20" si="5">+SUM(DG20:DJ20)</f>
        <v>0</v>
      </c>
      <c r="DM20" s="242">
        <v>0</v>
      </c>
      <c r="DN20" s="242">
        <v>0</v>
      </c>
      <c r="DO20" s="242">
        <v>0</v>
      </c>
      <c r="DP20" s="242">
        <v>0</v>
      </c>
      <c r="DQ20" s="268">
        <f t="shared" ref="DQ20" si="6">+SUM(DM20:DP20)</f>
        <v>0</v>
      </c>
      <c r="DS20" s="242">
        <v>0</v>
      </c>
      <c r="DT20" s="242">
        <v>0</v>
      </c>
      <c r="DU20" s="242">
        <v>0</v>
      </c>
      <c r="DV20" s="242">
        <v>0</v>
      </c>
      <c r="DW20" s="268">
        <f t="shared" ref="DW20" si="7">+SUM(DS20:DV20)</f>
        <v>0</v>
      </c>
    </row>
    <row r="21" spans="1:127" s="37" customFormat="1" ht="18.75" customHeight="1" x14ac:dyDescent="0.2">
      <c r="A21" s="37" t="s">
        <v>8</v>
      </c>
      <c r="C21" s="67">
        <f>SUM(C19:C20)</f>
        <v>6.9798657718120829</v>
      </c>
      <c r="D21" s="67">
        <f>SUM(D19:D20)</f>
        <v>13.825503355704697</v>
      </c>
      <c r="E21" s="67">
        <f>SUM(E19:E20)</f>
        <v>15.436241610738254</v>
      </c>
      <c r="F21" s="67">
        <f>SUM(F19:F20)</f>
        <v>11.677852348993289</v>
      </c>
      <c r="G21" s="68">
        <f>SUM(G19:G20)</f>
        <v>47.919463087248303</v>
      </c>
      <c r="H21" s="64"/>
      <c r="I21" s="67">
        <f>SUM(I19:I20)</f>
        <v>11.409395973154361</v>
      </c>
      <c r="J21" s="67">
        <f>SUM(J19:J20)</f>
        <v>29.530201342281874</v>
      </c>
      <c r="K21" s="67">
        <f>SUM(K19:K20)</f>
        <v>18.523489932885909</v>
      </c>
      <c r="L21" s="67">
        <f>SUM(L19:L20)</f>
        <v>18.65771812080537</v>
      </c>
      <c r="M21" s="68">
        <f>SUM(M19:M20)</f>
        <v>78.120805369127524</v>
      </c>
      <c r="N21" s="64"/>
      <c r="O21" s="67">
        <f>SUM(O19:O20)</f>
        <v>15.973154362416112</v>
      </c>
      <c r="P21" s="67">
        <f>SUM(P19:P20)</f>
        <v>29.530201342281877</v>
      </c>
      <c r="Q21" s="67">
        <f>SUM(Q19:Q20)</f>
        <v>21.879194630872483</v>
      </c>
      <c r="R21" s="67">
        <f>SUM(R19:R20)</f>
        <v>40.671140939597322</v>
      </c>
      <c r="S21" s="68">
        <f>SUM(S19:S20)</f>
        <v>108.05369127516778</v>
      </c>
      <c r="T21" s="64"/>
      <c r="U21" s="67">
        <f>SUM(U19:U20)</f>
        <v>18.255033557046971</v>
      </c>
      <c r="V21" s="67">
        <f>SUM(V19:V20)</f>
        <v>31.006711409395972</v>
      </c>
      <c r="W21" s="67">
        <f>SUM(W19:W20)</f>
        <v>17.986577181208055</v>
      </c>
      <c r="X21" s="67">
        <f>SUM(X19:X20)</f>
        <v>-13.422818791946305</v>
      </c>
      <c r="Y21" s="68">
        <f>SUM(Y19:Y20)</f>
        <v>53.825503355704704</v>
      </c>
      <c r="Z21" s="64"/>
      <c r="AA21" s="67">
        <f>SUM(AA19:AA20)</f>
        <v>0.26845637583892556</v>
      </c>
      <c r="AB21" s="67">
        <f>SUM(AB19:AB20)</f>
        <v>12.617449664429532</v>
      </c>
      <c r="AC21" s="67">
        <f>SUM(AC19:AC20)</f>
        <v>9.3959731543624159</v>
      </c>
      <c r="AD21" s="67">
        <f>SUM(AD19:AD20)</f>
        <v>10.067114093959733</v>
      </c>
      <c r="AE21" s="68">
        <f>SUM(AE19:AE20)</f>
        <v>32.348993288590613</v>
      </c>
      <c r="AF21" s="64"/>
      <c r="AG21" s="67">
        <f>SUM(AG19:AG20)</f>
        <v>8.7248322147650992</v>
      </c>
      <c r="AH21" s="67">
        <f>SUM(AH19:AH20)</f>
        <v>12.751677852348996</v>
      </c>
      <c r="AI21" s="67">
        <f>SUM(AI19:AI20)</f>
        <v>10.604026845637586</v>
      </c>
      <c r="AJ21" s="67">
        <f>SUM(AJ19:AJ20)</f>
        <v>3.6241610738255012</v>
      </c>
      <c r="AK21" s="68">
        <f>SUM(AK19:AK20)</f>
        <v>35.704697986577173</v>
      </c>
      <c r="AL21" s="64"/>
      <c r="AM21" s="67">
        <f>SUM(AM19:AM20)</f>
        <v>6.8456375838926187</v>
      </c>
      <c r="AN21" s="67">
        <f>SUM(AN19:AN20)</f>
        <v>4.0268456375838939</v>
      </c>
      <c r="AO21" s="67">
        <f>SUM(AO19:AO20)</f>
        <v>5.6375838926174477</v>
      </c>
      <c r="AP21" s="67">
        <v>-1</v>
      </c>
      <c r="AQ21" s="68">
        <f>SUM(AQ19:AQ20)</f>
        <v>16.778523489932905</v>
      </c>
      <c r="AR21" s="64"/>
      <c r="AS21" s="67">
        <f>SUM(AS19:AS20)</f>
        <v>4.0268456375838921</v>
      </c>
      <c r="AT21" s="67">
        <f>SUM(AT19:AT20)</f>
        <v>193.28859060402681</v>
      </c>
      <c r="AU21" s="67">
        <f>SUM(AU19:AU20)</f>
        <v>4.8322147651006722</v>
      </c>
      <c r="AV21" s="67">
        <f>SUM(AV19:AV20)</f>
        <v>13.15436241610738</v>
      </c>
      <c r="AW21" s="68">
        <f>SUM(AW19:AW20)</f>
        <v>215.30201342281879</v>
      </c>
      <c r="AX21" s="64"/>
      <c r="AY21" s="67">
        <f>SUM(AY19:AY20)</f>
        <v>3.3557046979865786</v>
      </c>
      <c r="AZ21" s="67">
        <f>SUM(AZ19:AZ20)</f>
        <v>10.067114093959736</v>
      </c>
      <c r="BA21" s="67">
        <f>SUM(BA19:BA20)</f>
        <v>7.1140939597315445</v>
      </c>
      <c r="BB21" s="67">
        <f>SUM(BB19:BB20)</f>
        <v>13.28859060402684</v>
      </c>
      <c r="BC21" s="68">
        <f>SUM(BC19:BC20)</f>
        <v>33.825503355704683</v>
      </c>
      <c r="BD21" s="64"/>
      <c r="BE21" s="67">
        <f>SUM(BE19:BE20)</f>
        <v>11.677852348993287</v>
      </c>
      <c r="BF21" s="67">
        <f>SUM(BF19:BF20)</f>
        <v>6.1744966442953046</v>
      </c>
      <c r="BG21" s="67">
        <f>SUM(BG19:BG20)</f>
        <v>8.0536912751677843</v>
      </c>
      <c r="BH21" s="67">
        <f>SUM(BH19:BH20)</f>
        <v>11.677852348993289</v>
      </c>
      <c r="BI21" s="68">
        <f>SUM(BI19:BI20)</f>
        <v>37.583892617449649</v>
      </c>
      <c r="BJ21" s="64"/>
      <c r="BK21" s="67">
        <f>SUM(BK19:BK20)</f>
        <v>12.214765100671148</v>
      </c>
      <c r="BL21" s="67">
        <f>SUM(BL19:BL20)</f>
        <v>-27.785234899328856</v>
      </c>
      <c r="BM21" s="67">
        <f>SUM(BM19:BM20)</f>
        <v>9.664429530201339</v>
      </c>
      <c r="BN21" s="67">
        <f>SUM(BN19:BN20)</f>
        <v>6.8599999999999959</v>
      </c>
      <c r="BO21" s="68">
        <f>SUM(BO19:BO20)</f>
        <v>0.95395973154364799</v>
      </c>
      <c r="BP21" s="64"/>
      <c r="BQ21" s="67">
        <f>SUM(BQ19:BQ20)</f>
        <v>10.600999999999997</v>
      </c>
      <c r="BR21" s="67">
        <f>SUM(BR19:BR20)</f>
        <v>20.2</v>
      </c>
      <c r="BS21" s="67">
        <f>SUM(BS19:BS20)</f>
        <v>-24.799999999999997</v>
      </c>
      <c r="BT21" s="67">
        <f>SUM(BT19:BT20)</f>
        <v>6.0999999999999961</v>
      </c>
      <c r="BU21" s="68">
        <f>SUM(BU19:BU20)</f>
        <v>12.100999999999988</v>
      </c>
      <c r="BV21" s="64"/>
      <c r="BW21" s="67">
        <f>SUM(BW19:BW20)</f>
        <v>12.600000000000001</v>
      </c>
      <c r="BX21" s="67">
        <f>SUM(BX19:BX20)</f>
        <v>32.5</v>
      </c>
      <c r="BY21" s="67">
        <f>SUM(BY19:BY20)</f>
        <v>17.600000000000005</v>
      </c>
      <c r="BZ21" s="67">
        <f>SUM(BZ19:BZ20)</f>
        <v>867.1</v>
      </c>
      <c r="CA21" s="68">
        <f>SUM(CA19:CA20)</f>
        <v>929.8</v>
      </c>
      <c r="CC21" s="67">
        <f>SUM(CC19:CC20)</f>
        <v>-4.9999999999999973</v>
      </c>
      <c r="CD21" s="67">
        <f>SUM(CD19:CD20)</f>
        <v>1.7000000000000015</v>
      </c>
      <c r="CE21" s="67">
        <f>SUM(CE19:CE20)</f>
        <v>-2.8</v>
      </c>
      <c r="CF21" s="67">
        <f>SUM(CF19:CF20)</f>
        <v>-40.20000000000001</v>
      </c>
      <c r="CG21" s="68">
        <f>SUM(CG19:CG20)</f>
        <v>-46.300000000000004</v>
      </c>
      <c r="CI21" s="67">
        <f>SUM(CI19:CI20)</f>
        <v>-19.000000000000004</v>
      </c>
      <c r="CJ21" s="67">
        <f>SUM(CJ19:CJ20)</f>
        <v>-15.099999999999996</v>
      </c>
      <c r="CK21" s="67">
        <f>SUM(CK19:CK20)</f>
        <v>-19.2</v>
      </c>
      <c r="CL21" s="67">
        <f>SUM(CL19:CL20)</f>
        <v>-22.700000000000003</v>
      </c>
      <c r="CM21" s="68">
        <f>SUM(CM19:CM20)</f>
        <v>-76</v>
      </c>
      <c r="CO21" s="67">
        <f>SUM(CO19:CO20)</f>
        <v>-20.6</v>
      </c>
      <c r="CP21" s="67">
        <f>SUM(CP19:CP20)</f>
        <v>-13.400000000000002</v>
      </c>
      <c r="CQ21" s="67">
        <f>SUM(CQ19:CQ20)</f>
        <v>-9.9</v>
      </c>
      <c r="CR21" s="67">
        <f>SUM(CR19:CR20)</f>
        <v>-30.599999999999998</v>
      </c>
      <c r="CS21" s="68">
        <f>SUM(CS19:CS20)</f>
        <v>-74.500000000000014</v>
      </c>
      <c r="CU21" s="67">
        <f>SUM(CU19:CU20)</f>
        <v>1.7000000000000013</v>
      </c>
      <c r="CV21" s="67">
        <f>SUM(CV19:CV20)</f>
        <v>11.1</v>
      </c>
      <c r="CW21" s="67">
        <f>SUM(CW19:CW20)</f>
        <v>0.20000000000000751</v>
      </c>
      <c r="CX21" s="67">
        <f>SUM(CX19:CX20)</f>
        <v>-8.8999999999999968</v>
      </c>
      <c r="CY21" s="68">
        <f>SUM(CY19:CY20)</f>
        <v>4.1000000000000103</v>
      </c>
      <c r="DA21" s="67">
        <f>SUM(DA19:DA20)</f>
        <v>14.899999999999995</v>
      </c>
      <c r="DB21" s="67">
        <f>SUM(DB19:DB20)</f>
        <v>5.0999999999999979</v>
      </c>
      <c r="DC21" s="67">
        <f>SUM(DC19:DC20)</f>
        <v>19.899999999999999</v>
      </c>
      <c r="DD21" s="67">
        <f>SUM(DD19:DD20)</f>
        <v>22.500000000000007</v>
      </c>
      <c r="DE21" s="68">
        <f>SUM(DE19:DE20)</f>
        <v>62.399999999999949</v>
      </c>
      <c r="DG21" s="67">
        <f>SUM(DG19:DG20)</f>
        <v>27.6</v>
      </c>
      <c r="DH21" s="67">
        <f>SUM(DH19:DH20)</f>
        <v>38</v>
      </c>
      <c r="DI21" s="67">
        <f>+DI19+DI20</f>
        <v>25.000000000000007</v>
      </c>
      <c r="DJ21" s="67">
        <f>+DJ19</f>
        <v>33.70000000000001</v>
      </c>
      <c r="DK21" s="68">
        <f>+DK19</f>
        <v>124.30000000000004</v>
      </c>
      <c r="DM21" s="253">
        <f>SUM(DM19:DM20)</f>
        <v>45</v>
      </c>
      <c r="DN21" s="253">
        <f>SUM(DN19:DN20)</f>
        <v>179</v>
      </c>
      <c r="DO21" s="253">
        <f>+DO19+DO20</f>
        <v>57</v>
      </c>
      <c r="DP21" s="253">
        <f>+DP19</f>
        <v>56</v>
      </c>
      <c r="DQ21" s="269">
        <f>+DQ19</f>
        <v>337</v>
      </c>
      <c r="DS21" s="253">
        <f>SUM(DS19:DS20)</f>
        <v>57</v>
      </c>
      <c r="DT21" s="253">
        <f>SUM(DT19:DT20)</f>
        <v>54</v>
      </c>
      <c r="DU21" s="253">
        <f>+DU19+DU20</f>
        <v>67</v>
      </c>
      <c r="DV21" s="253">
        <f>+DV19</f>
        <v>0</v>
      </c>
      <c r="DW21" s="269">
        <f>+DW19</f>
        <v>178</v>
      </c>
    </row>
    <row r="22" spans="1:127" x14ac:dyDescent="0.2">
      <c r="C22" s="24"/>
      <c r="D22" s="24"/>
      <c r="E22" s="24"/>
      <c r="F22" s="24"/>
      <c r="G22" s="60"/>
      <c r="H22" s="24"/>
      <c r="I22" s="24"/>
      <c r="J22" s="24"/>
      <c r="K22" s="24"/>
      <c r="L22" s="24"/>
      <c r="M22" s="60"/>
      <c r="N22" s="24"/>
      <c r="O22" s="24"/>
      <c r="P22" s="24"/>
      <c r="Q22" s="24"/>
      <c r="R22" s="24"/>
      <c r="S22" s="60"/>
      <c r="T22" s="24"/>
      <c r="U22" s="24"/>
      <c r="V22" s="24"/>
      <c r="W22" s="24"/>
      <c r="X22" s="24"/>
      <c r="Y22" s="60"/>
      <c r="Z22" s="24"/>
      <c r="AA22" s="24"/>
      <c r="AB22" s="24"/>
      <c r="AC22" s="24"/>
      <c r="AD22" s="24"/>
      <c r="AE22" s="60"/>
      <c r="AF22" s="24"/>
      <c r="AG22" s="24"/>
      <c r="AH22" s="24"/>
      <c r="AI22" s="24"/>
      <c r="AJ22" s="24"/>
      <c r="AK22" s="60"/>
      <c r="AL22" s="24"/>
      <c r="AM22" s="24"/>
      <c r="AN22" s="24"/>
      <c r="AO22" s="24"/>
      <c r="AP22" s="24"/>
      <c r="AQ22" s="60"/>
      <c r="AR22" s="24"/>
      <c r="AS22" s="24"/>
      <c r="AT22" s="24"/>
      <c r="AU22" s="24"/>
      <c r="AV22" s="24"/>
      <c r="AW22" s="60"/>
      <c r="AX22" s="24"/>
      <c r="AY22" s="24"/>
      <c r="AZ22" s="24"/>
      <c r="BA22" s="24"/>
      <c r="BB22" s="24"/>
      <c r="BC22" s="60"/>
      <c r="BD22" s="24"/>
      <c r="BE22" s="24"/>
      <c r="BF22" s="24"/>
      <c r="BG22" s="24"/>
      <c r="BH22" s="24"/>
      <c r="BI22" s="60"/>
      <c r="BJ22" s="24"/>
      <c r="BK22" s="24"/>
      <c r="BL22" s="24"/>
      <c r="BM22" s="24"/>
      <c r="BN22" s="24"/>
      <c r="BO22" s="60"/>
      <c r="BP22" s="24"/>
      <c r="BQ22" s="24"/>
      <c r="BR22" s="24"/>
      <c r="BS22" s="24"/>
      <c r="BT22" s="24"/>
      <c r="BU22" s="60"/>
      <c r="BV22" s="24"/>
      <c r="BW22" s="24"/>
      <c r="BX22" s="24"/>
      <c r="BY22" s="24"/>
      <c r="BZ22" s="24"/>
      <c r="CA22" s="60"/>
      <c r="CC22" s="24"/>
      <c r="CD22" s="24"/>
      <c r="CE22" s="24"/>
      <c r="CF22" s="24"/>
      <c r="CG22" s="60"/>
      <c r="CI22" s="24"/>
      <c r="CJ22" s="24"/>
      <c r="CK22" s="24"/>
      <c r="CL22" s="24"/>
      <c r="CM22" s="60"/>
      <c r="CO22" s="24"/>
      <c r="CP22" s="24"/>
      <c r="CQ22" s="24"/>
      <c r="CR22" s="24"/>
      <c r="CS22" s="60"/>
      <c r="CU22" s="24"/>
      <c r="CV22" s="24"/>
      <c r="CW22" s="24"/>
      <c r="CX22" s="24"/>
      <c r="CY22" s="60"/>
      <c r="DA22" s="24"/>
      <c r="DB22" s="24"/>
      <c r="DC22" s="24"/>
      <c r="DD22" s="24"/>
      <c r="DE22" s="60"/>
      <c r="DG22" s="24"/>
      <c r="DH22" s="24"/>
      <c r="DI22" s="24"/>
      <c r="DJ22" s="24"/>
      <c r="DK22" s="60"/>
      <c r="DM22" s="4"/>
      <c r="DN22" s="4"/>
      <c r="DO22" s="4"/>
      <c r="DP22" s="4"/>
      <c r="DQ22" s="29"/>
      <c r="DS22" s="4"/>
      <c r="DT22" s="4"/>
      <c r="DU22" s="4"/>
      <c r="DV22" s="4"/>
      <c r="DW22" s="29"/>
    </row>
    <row r="23" spans="1:127" x14ac:dyDescent="0.2">
      <c r="C23" s="24"/>
      <c r="D23" s="24"/>
      <c r="E23" s="24"/>
      <c r="F23" s="24"/>
      <c r="G23" s="60"/>
      <c r="H23" s="24"/>
      <c r="I23" s="24"/>
      <c r="J23" s="24"/>
      <c r="K23" s="24"/>
      <c r="L23" s="24"/>
      <c r="M23" s="60"/>
      <c r="N23" s="24"/>
      <c r="O23" s="24"/>
      <c r="P23" s="24"/>
      <c r="Q23" s="24"/>
      <c r="R23" s="24"/>
      <c r="S23" s="60"/>
      <c r="T23" s="24"/>
      <c r="U23" s="24"/>
      <c r="V23" s="24"/>
      <c r="W23" s="24"/>
      <c r="X23" s="24"/>
      <c r="Y23" s="60"/>
      <c r="Z23" s="24"/>
      <c r="AA23" s="24"/>
      <c r="AB23" s="24"/>
      <c r="AC23" s="24"/>
      <c r="AD23" s="24"/>
      <c r="AE23" s="60"/>
      <c r="AF23" s="24"/>
      <c r="AG23" s="24"/>
      <c r="AH23" s="24"/>
      <c r="AI23" s="24"/>
      <c r="AJ23" s="24"/>
      <c r="AK23" s="60"/>
      <c r="AL23" s="24"/>
      <c r="AM23" s="24"/>
      <c r="AN23" s="24"/>
      <c r="AO23" s="24"/>
      <c r="AP23" s="24"/>
      <c r="AQ23" s="60"/>
      <c r="AR23" s="24"/>
      <c r="AS23" s="24"/>
      <c r="AT23" s="24"/>
      <c r="AU23" s="24"/>
      <c r="AV23" s="24"/>
      <c r="AW23" s="60"/>
      <c r="AX23" s="24"/>
      <c r="AY23" s="24"/>
      <c r="AZ23" s="24"/>
      <c r="BA23" s="24"/>
      <c r="BB23" s="24"/>
      <c r="BC23" s="60"/>
      <c r="BD23" s="24"/>
      <c r="BE23" s="24"/>
      <c r="BF23" s="24"/>
      <c r="BG23" s="24"/>
      <c r="BH23" s="24"/>
      <c r="BI23" s="60"/>
      <c r="BJ23" s="24"/>
      <c r="BK23" s="24"/>
      <c r="BL23" s="24"/>
      <c r="BM23" s="24"/>
      <c r="BN23" s="24"/>
      <c r="BO23" s="60"/>
      <c r="BP23" s="24"/>
      <c r="BQ23" s="24"/>
      <c r="BR23" s="24"/>
      <c r="BS23" s="24"/>
      <c r="BT23" s="24"/>
      <c r="BU23" s="60"/>
      <c r="BV23" s="24"/>
      <c r="BW23" s="24"/>
      <c r="BX23" s="24"/>
      <c r="BY23" s="24"/>
      <c r="BZ23" s="24"/>
      <c r="CA23" s="60"/>
      <c r="CC23" s="24"/>
      <c r="CD23" s="24"/>
      <c r="CE23" s="24"/>
      <c r="CF23" s="24"/>
      <c r="CG23" s="60"/>
      <c r="CI23" s="24"/>
      <c r="CJ23" s="24"/>
      <c r="CK23" s="24"/>
      <c r="CL23" s="24"/>
      <c r="CM23" s="60"/>
      <c r="CO23" s="24"/>
      <c r="CP23" s="24"/>
      <c r="CQ23" s="24"/>
      <c r="CR23" s="24"/>
      <c r="CS23" s="60"/>
      <c r="CU23" s="24"/>
      <c r="CV23" s="24"/>
      <c r="CW23" s="24"/>
      <c r="CX23" s="24"/>
      <c r="CY23" s="60"/>
      <c r="DA23" s="24"/>
      <c r="DB23" s="24"/>
      <c r="DC23" s="24"/>
      <c r="DD23" s="24"/>
      <c r="DE23" s="60"/>
      <c r="DG23" s="24"/>
      <c r="DH23" s="24"/>
      <c r="DI23" s="24"/>
      <c r="DJ23" s="24"/>
      <c r="DK23" s="60"/>
      <c r="DM23" s="4"/>
      <c r="DN23" s="4"/>
      <c r="DO23" s="4"/>
      <c r="DP23" s="4"/>
      <c r="DQ23" s="29"/>
      <c r="DS23" s="4"/>
      <c r="DT23" s="4"/>
      <c r="DU23" s="4"/>
      <c r="DV23" s="4"/>
      <c r="DW23" s="29"/>
    </row>
    <row r="24" spans="1:127" x14ac:dyDescent="0.2">
      <c r="A24" s="1" t="s">
        <v>124</v>
      </c>
      <c r="C24" s="24">
        <f>(+'OLD Segment Data 2005-2019'!C16)/7.45</f>
        <v>32.232782307103278</v>
      </c>
      <c r="D24" s="24">
        <f>(+'OLD Segment Data 2005-2019'!D16)/7.45</f>
        <v>38.989234719156798</v>
      </c>
      <c r="E24" s="24">
        <f>(+'OLD Segment Data 2005-2019'!E16)/7.45</f>
        <v>37.421737759560379</v>
      </c>
      <c r="F24" s="24">
        <f>(+'OLD Segment Data 2005-2019'!F16)/7.45</f>
        <v>38.736993829106794</v>
      </c>
      <c r="G24" s="69">
        <f>+'OLD Segment Data 2005-2019'!G16</f>
        <v>1097.9865771812081</v>
      </c>
      <c r="H24" s="24"/>
      <c r="I24" s="24">
        <v>288.45637583892619</v>
      </c>
      <c r="J24" s="24">
        <v>316.51006711409394</v>
      </c>
      <c r="K24" s="24">
        <v>292.34899328859058</v>
      </c>
      <c r="L24" s="24">
        <v>310.73825503355704</v>
      </c>
      <c r="M24" s="69">
        <f>+'OLD Segment Data 2005-2019'!M16</f>
        <v>1208.0536912751677</v>
      </c>
      <c r="N24" s="24"/>
      <c r="O24" s="24">
        <v>340.80536912751677</v>
      </c>
      <c r="P24" s="24">
        <v>385.1006711409396</v>
      </c>
      <c r="Q24" s="24">
        <v>351.54362416107381</v>
      </c>
      <c r="R24" s="24">
        <v>371.94630872483219</v>
      </c>
      <c r="S24" s="69">
        <f>+'OLD Segment Data 2005-2019'!S16</f>
        <v>1449.3959731543625</v>
      </c>
      <c r="T24" s="24"/>
      <c r="U24" s="24">
        <f>(+'OLD Segment Data 2005-2019'!U16)/7.45</f>
        <v>48.628440160353129</v>
      </c>
      <c r="V24" s="24">
        <f>(+'OLD Segment Data 2005-2019'!V16)/7.45</f>
        <v>55.511013017431644</v>
      </c>
      <c r="W24" s="24">
        <f>(+'OLD Segment Data 2005-2019'!W16)/7.45</f>
        <v>50.700418900049542</v>
      </c>
      <c r="X24" s="24">
        <f>(+'OLD Segment Data 2005-2019'!X16)/7.45</f>
        <v>48.268096031710286</v>
      </c>
      <c r="Y24" s="69">
        <f>SUM(U24:X24)</f>
        <v>203.1079681095446</v>
      </c>
      <c r="Z24" s="24"/>
      <c r="AA24" s="24">
        <v>314.49664429530202</v>
      </c>
      <c r="AB24" s="24">
        <v>361.20805369127515</v>
      </c>
      <c r="AC24" s="24">
        <v>330.60402684563758</v>
      </c>
      <c r="AD24" s="24">
        <v>329.26174496644296</v>
      </c>
      <c r="AE24" s="69">
        <f>SUM(AA24:AD24)</f>
        <v>1335.5704697986578</v>
      </c>
      <c r="AF24" s="24"/>
      <c r="AG24" s="24">
        <v>334.76510067114094</v>
      </c>
      <c r="AH24" s="24">
        <v>396.37583892617448</v>
      </c>
      <c r="AI24" s="24">
        <v>395.03355704697987</v>
      </c>
      <c r="AJ24" s="24">
        <v>414.49664429530202</v>
      </c>
      <c r="AK24" s="69">
        <f>SUM(AG24:AJ24)</f>
        <v>1540.6711409395973</v>
      </c>
      <c r="AL24" s="24"/>
      <c r="AM24" s="24">
        <v>384.29530201342283</v>
      </c>
      <c r="AN24" s="24">
        <v>413.02013422818789</v>
      </c>
      <c r="AO24" s="24">
        <v>406.30872483221475</v>
      </c>
      <c r="AP24" s="24">
        <v>427.38255033557044</v>
      </c>
      <c r="AQ24" s="69">
        <f>SUM(AM24:AP24)</f>
        <v>1631.0067114093958</v>
      </c>
      <c r="AR24" s="24"/>
      <c r="AS24" s="24">
        <v>376.6442953020134</v>
      </c>
      <c r="AT24" s="24">
        <v>413.28859060402681</v>
      </c>
      <c r="AU24" s="24">
        <v>407.5167785234899</v>
      </c>
      <c r="AV24" s="24">
        <v>433.15436241610735</v>
      </c>
      <c r="AW24" s="69">
        <f>SUM(AS24:AV24)</f>
        <v>1630.6040268456372</v>
      </c>
      <c r="AX24" s="24"/>
      <c r="AY24" s="24">
        <v>383.75838926174498</v>
      </c>
      <c r="AZ24" s="24">
        <v>438.12080536912748</v>
      </c>
      <c r="BA24" s="24">
        <v>440.53691275167785</v>
      </c>
      <c r="BB24" s="24">
        <v>461.47651006711408</v>
      </c>
      <c r="BC24" s="69">
        <f>+'OLD Segment Data 2005-2019'!BC16</f>
        <v>1723.8926174496644</v>
      </c>
      <c r="BD24" s="24"/>
      <c r="BE24" s="24">
        <v>426.71140939597313</v>
      </c>
      <c r="BF24" s="24">
        <v>447.91946308724829</v>
      </c>
      <c r="BG24" s="24">
        <v>440.40268456375838</v>
      </c>
      <c r="BH24" s="24">
        <v>454.09395973154363</v>
      </c>
      <c r="BI24" s="69">
        <f>SUM(BE24:BH24)</f>
        <v>1769.1275167785234</v>
      </c>
      <c r="BJ24" s="24"/>
      <c r="BK24" s="24">
        <v>466.44295302013421</v>
      </c>
      <c r="BL24" s="24">
        <v>494.49664429530202</v>
      </c>
      <c r="BM24" s="24">
        <v>438.65771812080538</v>
      </c>
      <c r="BN24" s="24">
        <f>+'OLD Segment Data 2005-2019'!BN16</f>
        <v>469.6</v>
      </c>
      <c r="BO24" s="69">
        <f>SUM(BK24:BN24)</f>
        <v>1869.1973154362418</v>
      </c>
      <c r="BP24" s="24"/>
      <c r="BQ24" s="24">
        <f>+'OLD Segment Data 2005-2019'!BQ16</f>
        <v>425.9</v>
      </c>
      <c r="BR24" s="24">
        <f>+'OLD Segment Data 2005-2019'!BR16</f>
        <v>485.49999999999989</v>
      </c>
      <c r="BS24" s="24">
        <v>457.4</v>
      </c>
      <c r="BT24" s="24">
        <v>482.5</v>
      </c>
      <c r="BU24" s="69">
        <f>SUM(BQ24:BT24)</f>
        <v>1851.2999999999997</v>
      </c>
      <c r="BV24" s="24"/>
      <c r="BW24" s="24">
        <f>+'OLD Segment Data 2005-2019'!BW16</f>
        <v>461.69999999999993</v>
      </c>
      <c r="BX24" s="24">
        <f>+'OLD Segment Data 2005-2019'!BX16</f>
        <v>579.29999999999995</v>
      </c>
      <c r="BY24" s="24">
        <f>+'OLD Segment Data 2005-2019'!BY16</f>
        <v>567.09999999999991</v>
      </c>
      <c r="BZ24" s="24">
        <f>+'OLD Segment Data 2005-2019'!BZ16</f>
        <v>302</v>
      </c>
      <c r="CA24" s="69">
        <f>SUM(BW24:BZ24)</f>
        <v>1910.1</v>
      </c>
      <c r="CC24" s="24">
        <f>+'OLD Segment Data 2005-2019'!CC16</f>
        <v>266.89999999999998</v>
      </c>
      <c r="CD24" s="24">
        <v>324</v>
      </c>
      <c r="CE24" s="24">
        <f>+'OLD Segment Data 2005-2019'!CE16</f>
        <v>301.64</v>
      </c>
      <c r="CF24" s="24">
        <f>+'OLD Segment Data 2005-2019'!CF16</f>
        <v>254.59999999999997</v>
      </c>
      <c r="CG24" s="69">
        <f>SUM(CC24:CF24)</f>
        <v>1147.1399999999999</v>
      </c>
      <c r="CI24" s="24">
        <f>+'OLD Segment Data 2005-2019'!CI16</f>
        <v>219.9</v>
      </c>
      <c r="CJ24" s="24">
        <f>+'OLD Segment Data 2005-2019'!CJ16</f>
        <v>262.59999999999997</v>
      </c>
      <c r="CK24" s="24">
        <f>+'OLD Segment Data 2005-2019'!CK16</f>
        <v>249.1</v>
      </c>
      <c r="CL24" s="24">
        <f>+'OLD Segment Data 2005-2019'!CL16</f>
        <v>287.59999999999997</v>
      </c>
      <c r="CM24" s="69">
        <f>SUM(CI24:CL24)</f>
        <v>1019.2</v>
      </c>
      <c r="CO24" s="24">
        <f>+'Segment Data 2017-2025'!U23</f>
        <v>252.99999999999997</v>
      </c>
      <c r="CP24" s="24">
        <f>+'Segment Data 2017-2025'!V23</f>
        <v>291</v>
      </c>
      <c r="CQ24" s="24">
        <f>+'Segment Data 2017-2025'!W23</f>
        <v>316.7</v>
      </c>
      <c r="CR24" s="24">
        <f>+'Segment Data 2017-2025'!X23</f>
        <v>293.99999999999989</v>
      </c>
      <c r="CS24" s="69">
        <f>SUM(CO24:CR24)</f>
        <v>1154.6999999999998</v>
      </c>
      <c r="CU24" s="24">
        <f>+'Segment Data 2017-2025'!AA23</f>
        <v>311.60000000000002</v>
      </c>
      <c r="CV24" s="24">
        <f>+'Segment Data 2017-2025'!AB23</f>
        <v>361.79999999999995</v>
      </c>
      <c r="CW24" s="24">
        <f>+'Segment Data 2017-2025'!AC23</f>
        <v>351.7</v>
      </c>
      <c r="CX24" s="24">
        <f>+'Segment Data 2017-2025'!AD23</f>
        <v>316.80000000000007</v>
      </c>
      <c r="CY24" s="69">
        <f>SUM(CU24:CX24)</f>
        <v>1341.9</v>
      </c>
      <c r="DA24" s="24">
        <f>+'Segment Data 2017-2025'!AG20</f>
        <v>319.20000000000005</v>
      </c>
      <c r="DB24" s="24">
        <f>+'Segment Data 2017-2025'!AH20</f>
        <v>381.1</v>
      </c>
      <c r="DC24" s="24">
        <f>+'Segment Data 2017-2025'!AI20</f>
        <v>357.7</v>
      </c>
      <c r="DD24" s="24">
        <f>+'Segment Data 2017-2025'!AJ20</f>
        <v>388.8</v>
      </c>
      <c r="DE24" s="69">
        <f>SUM(DA24:DD24)</f>
        <v>1446.8</v>
      </c>
      <c r="DG24" s="24">
        <f>+'Segment Data 2017-2025'!AM20</f>
        <v>421.7</v>
      </c>
      <c r="DH24" s="24">
        <f>+'Segment Data 2017-2025'!AN20</f>
        <v>468.2</v>
      </c>
      <c r="DI24" s="24">
        <v>501.4</v>
      </c>
      <c r="DJ24" s="24">
        <f>+DK24-DG24-DH24-DI24</f>
        <v>536.1</v>
      </c>
      <c r="DK24" s="69">
        <f>+'Segment Data 2017-2025'!AQ20</f>
        <v>1927.4</v>
      </c>
      <c r="DM24" s="4">
        <f>+'Segment Data 2017-2025'!AS20</f>
        <v>534</v>
      </c>
      <c r="DN24" s="4">
        <f>+'Segment Data 2017-2025'!AT20</f>
        <v>605</v>
      </c>
      <c r="DO24" s="4">
        <f>+'Segment Data 2017-2025'!AU20</f>
        <v>657</v>
      </c>
      <c r="DP24" s="4">
        <v>693</v>
      </c>
      <c r="DQ24" s="32">
        <f>+'Segment Data 2017-2025'!AW20</f>
        <v>2489</v>
      </c>
      <c r="DS24" s="4">
        <f>+'Segment Data 2017-2025'!AY20</f>
        <v>630</v>
      </c>
      <c r="DT24" s="4">
        <f>+'Segment Data 2017-2025'!AZ20</f>
        <v>723</v>
      </c>
      <c r="DU24" s="4">
        <f>+'Segment Data 2017-2025'!BA20</f>
        <v>726</v>
      </c>
      <c r="DV24" s="4"/>
      <c r="DW24" s="32">
        <f>+'Segment Data 2017-2025'!BC20</f>
        <v>2079</v>
      </c>
    </row>
    <row r="25" spans="1:127" x14ac:dyDescent="0.2">
      <c r="C25" s="24"/>
      <c r="D25" s="24"/>
      <c r="E25" s="24"/>
      <c r="F25" s="24"/>
      <c r="G25" s="60"/>
      <c r="H25" s="24"/>
      <c r="I25" s="24"/>
      <c r="J25" s="24"/>
      <c r="K25" s="24"/>
      <c r="L25" s="24"/>
      <c r="M25" s="60"/>
      <c r="N25" s="24"/>
      <c r="O25" s="24"/>
      <c r="P25" s="24"/>
      <c r="Q25" s="24"/>
      <c r="R25" s="24"/>
      <c r="S25" s="60"/>
      <c r="T25" s="24"/>
      <c r="U25" s="24"/>
      <c r="V25" s="24"/>
      <c r="W25" s="24"/>
      <c r="X25" s="24"/>
      <c r="Y25" s="60"/>
      <c r="Z25" s="24"/>
      <c r="AA25" s="24"/>
      <c r="AB25" s="24"/>
      <c r="AC25" s="24"/>
      <c r="AD25" s="24"/>
      <c r="AE25" s="60"/>
      <c r="AF25" s="24"/>
      <c r="AG25" s="24"/>
      <c r="AH25" s="24"/>
      <c r="AI25" s="24"/>
      <c r="AJ25" s="24"/>
      <c r="AK25" s="60"/>
      <c r="AL25" s="24"/>
      <c r="AM25" s="24"/>
      <c r="AN25" s="24"/>
      <c r="AO25" s="24"/>
      <c r="AP25" s="24"/>
      <c r="AQ25" s="60"/>
      <c r="AR25" s="24"/>
      <c r="AS25" s="24"/>
      <c r="AT25" s="24"/>
      <c r="AU25" s="24"/>
      <c r="AV25" s="24"/>
      <c r="AW25" s="60"/>
      <c r="AX25" s="24"/>
      <c r="AY25" s="24"/>
      <c r="AZ25" s="24"/>
      <c r="BA25" s="24"/>
      <c r="BB25" s="24"/>
      <c r="BC25" s="60"/>
      <c r="BD25" s="24"/>
      <c r="BE25" s="24"/>
      <c r="BF25" s="24"/>
      <c r="BG25" s="24"/>
      <c r="BH25" s="24"/>
      <c r="BI25" s="60"/>
      <c r="BJ25" s="24"/>
      <c r="BK25" s="24"/>
      <c r="BL25" s="24"/>
      <c r="BM25" s="24"/>
      <c r="BN25" s="24"/>
      <c r="BO25" s="60"/>
      <c r="BP25" s="24"/>
      <c r="BQ25" s="24"/>
      <c r="BR25" s="24"/>
      <c r="BS25" s="24"/>
      <c r="BT25" s="24"/>
      <c r="BU25" s="60"/>
      <c r="BV25" s="24"/>
      <c r="BW25" s="24"/>
      <c r="BX25" s="24"/>
      <c r="BY25" s="24"/>
      <c r="BZ25" s="24"/>
      <c r="CA25" s="60"/>
      <c r="CC25" s="24"/>
      <c r="CD25" s="24"/>
      <c r="CE25" s="24"/>
      <c r="CF25" s="24"/>
      <c r="CG25" s="60"/>
      <c r="CI25" s="24"/>
      <c r="CJ25" s="24"/>
      <c r="CK25" s="24"/>
      <c r="CL25" s="24"/>
      <c r="CM25" s="60"/>
      <c r="CO25" s="24"/>
      <c r="CP25" s="24"/>
      <c r="CQ25" s="24"/>
      <c r="CR25" s="24"/>
      <c r="CS25" s="60"/>
      <c r="CU25" s="24"/>
      <c r="CV25" s="24"/>
      <c r="CW25" s="24"/>
      <c r="CX25" s="24"/>
      <c r="CY25" s="60"/>
      <c r="DA25" s="24"/>
      <c r="DB25" s="24"/>
      <c r="DC25" s="24"/>
      <c r="DD25" s="24"/>
      <c r="DE25" s="60"/>
      <c r="DG25" s="24"/>
      <c r="DH25" s="24"/>
      <c r="DI25" s="24"/>
      <c r="DJ25" s="24"/>
      <c r="DK25" s="60"/>
      <c r="DM25" s="4"/>
      <c r="DN25" s="4"/>
      <c r="DO25" s="4"/>
      <c r="DP25" s="4"/>
      <c r="DQ25" s="60"/>
      <c r="DS25" s="4"/>
      <c r="DT25" s="4"/>
      <c r="DU25" s="4"/>
      <c r="DV25" s="4"/>
      <c r="DW25" s="60"/>
    </row>
    <row r="26" spans="1:127" s="35" customFormat="1" x14ac:dyDescent="0.2">
      <c r="A26" s="34" t="s">
        <v>14</v>
      </c>
      <c r="C26" s="70"/>
      <c r="D26" s="70"/>
      <c r="E26" s="70"/>
      <c r="F26" s="70"/>
      <c r="G26" s="71"/>
      <c r="H26" s="72"/>
      <c r="I26" s="70"/>
      <c r="J26" s="70"/>
      <c r="K26" s="70"/>
      <c r="L26" s="70"/>
      <c r="M26" s="71"/>
      <c r="N26" s="72"/>
      <c r="O26" s="70"/>
      <c r="P26" s="70"/>
      <c r="Q26" s="70"/>
      <c r="R26" s="70"/>
      <c r="S26" s="71"/>
      <c r="T26" s="72"/>
      <c r="U26" s="70" t="s">
        <v>9</v>
      </c>
      <c r="V26" s="70" t="s">
        <v>10</v>
      </c>
      <c r="W26" s="70" t="s">
        <v>11</v>
      </c>
      <c r="X26" s="70" t="s">
        <v>12</v>
      </c>
      <c r="Y26" s="71"/>
      <c r="Z26" s="72"/>
      <c r="AA26" s="70" t="s">
        <v>9</v>
      </c>
      <c r="AB26" s="70" t="s">
        <v>10</v>
      </c>
      <c r="AC26" s="70" t="s">
        <v>11</v>
      </c>
      <c r="AD26" s="70" t="s">
        <v>12</v>
      </c>
      <c r="AE26" s="71"/>
      <c r="AF26" s="72"/>
      <c r="AG26" s="70" t="s">
        <v>9</v>
      </c>
      <c r="AH26" s="70" t="s">
        <v>10</v>
      </c>
      <c r="AI26" s="70" t="s">
        <v>11</v>
      </c>
      <c r="AJ26" s="70" t="s">
        <v>12</v>
      </c>
      <c r="AK26" s="71"/>
      <c r="AL26" s="72"/>
      <c r="AM26" s="70" t="s">
        <v>9</v>
      </c>
      <c r="AN26" s="70" t="s">
        <v>10</v>
      </c>
      <c r="AO26" s="70" t="s">
        <v>11</v>
      </c>
      <c r="AP26" s="70" t="s">
        <v>12</v>
      </c>
      <c r="AQ26" s="71"/>
      <c r="AR26" s="72"/>
      <c r="AS26" s="70" t="s">
        <v>9</v>
      </c>
      <c r="AT26" s="70" t="s">
        <v>10</v>
      </c>
      <c r="AU26" s="70" t="s">
        <v>11</v>
      </c>
      <c r="AV26" s="70" t="s">
        <v>12</v>
      </c>
      <c r="AW26" s="71"/>
      <c r="AX26" s="72"/>
      <c r="AY26" s="70" t="s">
        <v>9</v>
      </c>
      <c r="AZ26" s="70" t="s">
        <v>10</v>
      </c>
      <c r="BA26" s="70" t="s">
        <v>11</v>
      </c>
      <c r="BB26" s="70" t="s">
        <v>12</v>
      </c>
      <c r="BC26" s="71"/>
      <c r="BD26" s="72"/>
      <c r="BE26" s="70" t="s">
        <v>9</v>
      </c>
      <c r="BF26" s="70" t="s">
        <v>10</v>
      </c>
      <c r="BG26" s="70" t="s">
        <v>11</v>
      </c>
      <c r="BH26" s="70" t="s">
        <v>12</v>
      </c>
      <c r="BI26" s="71"/>
      <c r="BJ26" s="72"/>
      <c r="BK26" s="70" t="s">
        <v>9</v>
      </c>
      <c r="BL26" s="70" t="s">
        <v>10</v>
      </c>
      <c r="BM26" s="70" t="s">
        <v>11</v>
      </c>
      <c r="BN26" s="70" t="s">
        <v>12</v>
      </c>
      <c r="BO26" s="71"/>
      <c r="BP26" s="72"/>
      <c r="BQ26" s="70" t="s">
        <v>9</v>
      </c>
      <c r="BR26" s="70" t="s">
        <v>10</v>
      </c>
      <c r="BS26" s="70" t="s">
        <v>11</v>
      </c>
      <c r="BT26" s="70" t="s">
        <v>12</v>
      </c>
      <c r="BU26" s="71"/>
      <c r="BV26" s="72"/>
      <c r="BW26" s="70" t="s">
        <v>9</v>
      </c>
      <c r="BX26" s="70"/>
      <c r="BY26" s="70"/>
      <c r="BZ26" s="70"/>
      <c r="CA26" s="71"/>
      <c r="CC26" s="70" t="s">
        <v>9</v>
      </c>
      <c r="CD26" s="70"/>
      <c r="CE26" s="70"/>
      <c r="CF26" s="70"/>
      <c r="CG26" s="71"/>
      <c r="CI26" s="70" t="s">
        <v>9</v>
      </c>
      <c r="CJ26" s="70"/>
      <c r="CK26" s="70"/>
      <c r="CL26" s="70"/>
      <c r="CM26" s="71"/>
      <c r="CO26" s="70" t="s">
        <v>9</v>
      </c>
      <c r="CP26" s="70"/>
      <c r="CQ26" s="70"/>
      <c r="CR26" s="70"/>
      <c r="CS26" s="71"/>
      <c r="CU26" s="70" t="s">
        <v>9</v>
      </c>
      <c r="CV26" s="70"/>
      <c r="CW26" s="70"/>
      <c r="CX26" s="70"/>
      <c r="CY26" s="71"/>
      <c r="DA26" s="70" t="s">
        <v>9</v>
      </c>
      <c r="DB26" s="70"/>
      <c r="DC26" s="70"/>
      <c r="DD26" s="70"/>
      <c r="DE26" s="71"/>
      <c r="DG26" s="70" t="s">
        <v>9</v>
      </c>
      <c r="DH26" s="70" t="s">
        <v>9</v>
      </c>
      <c r="DI26" s="70"/>
      <c r="DJ26" s="70"/>
      <c r="DK26" s="71"/>
      <c r="DM26" s="254" t="s">
        <v>9</v>
      </c>
      <c r="DN26" s="254" t="s">
        <v>9</v>
      </c>
      <c r="DO26" s="254"/>
      <c r="DP26" s="254"/>
      <c r="DQ26" s="71"/>
      <c r="DS26" s="254" t="s">
        <v>9</v>
      </c>
      <c r="DT26" s="254" t="s">
        <v>9</v>
      </c>
      <c r="DU26" s="254"/>
      <c r="DV26" s="254"/>
      <c r="DW26" s="71"/>
    </row>
    <row r="27" spans="1:127" x14ac:dyDescent="0.2">
      <c r="A27" s="2" t="s">
        <v>89</v>
      </c>
      <c r="C27" s="24">
        <v>65.771812080536918</v>
      </c>
      <c r="D27" s="24">
        <v>65.771812080536918</v>
      </c>
      <c r="E27" s="24">
        <v>65.771812080536918</v>
      </c>
      <c r="F27" s="24">
        <v>65.771812080536918</v>
      </c>
      <c r="G27" s="60"/>
      <c r="H27" s="24"/>
      <c r="I27" s="24">
        <v>65.771812080536918</v>
      </c>
      <c r="J27" s="24">
        <v>63.087248322147651</v>
      </c>
      <c r="K27" s="24">
        <v>63.087248322147651</v>
      </c>
      <c r="L27" s="24">
        <v>63.087248322147651</v>
      </c>
      <c r="M27" s="60"/>
      <c r="N27" s="24"/>
      <c r="O27" s="24">
        <v>63.221476510067113</v>
      </c>
      <c r="P27" s="24">
        <v>63.489932885906036</v>
      </c>
      <c r="Q27" s="24">
        <v>63.489932885906036</v>
      </c>
      <c r="R27" s="24">
        <v>63.489932885906036</v>
      </c>
      <c r="S27" s="60"/>
      <c r="T27" s="24"/>
      <c r="U27" s="24">
        <v>63.489932885906036</v>
      </c>
      <c r="V27" s="24">
        <v>63.624161073825505</v>
      </c>
      <c r="W27" s="24">
        <v>63.624161073825505</v>
      </c>
      <c r="X27" s="24">
        <v>63.624161073825505</v>
      </c>
      <c r="Y27" s="60"/>
      <c r="Z27" s="24"/>
      <c r="AA27" s="24">
        <v>63.624161073825505</v>
      </c>
      <c r="AB27" s="24">
        <v>63.624161073825505</v>
      </c>
      <c r="AC27" s="24">
        <v>63.624161073825505</v>
      </c>
      <c r="AD27" s="24">
        <v>63.624161073825505</v>
      </c>
      <c r="AE27" s="60"/>
      <c r="AF27" s="24"/>
      <c r="AG27" s="24">
        <v>63.624161073825505</v>
      </c>
      <c r="AH27" s="24">
        <v>63.758389261744966</v>
      </c>
      <c r="AI27" s="24">
        <v>63.758389261744966</v>
      </c>
      <c r="AJ27" s="24">
        <v>63.758389261744966</v>
      </c>
      <c r="AK27" s="60"/>
      <c r="AL27" s="24"/>
      <c r="AM27" s="24">
        <v>63.758389261744966</v>
      </c>
      <c r="AN27" s="24">
        <v>63.758389261744966</v>
      </c>
      <c r="AO27" s="24">
        <v>63.758389261744966</v>
      </c>
      <c r="AP27" s="24">
        <v>63.758389261744966</v>
      </c>
      <c r="AQ27" s="60"/>
      <c r="AR27" s="24"/>
      <c r="AS27" s="24">
        <v>64.161073825503351</v>
      </c>
      <c r="AT27" s="24">
        <v>64.161073825503351</v>
      </c>
      <c r="AU27" s="24">
        <v>64.161073825503351</v>
      </c>
      <c r="AV27" s="24">
        <v>64.161073825503351</v>
      </c>
      <c r="AW27" s="60"/>
      <c r="AX27" s="24"/>
      <c r="AY27" s="24">
        <v>64.295302013422813</v>
      </c>
      <c r="AZ27" s="24">
        <v>64.295302013422813</v>
      </c>
      <c r="BA27" s="24">
        <v>64.295302013422813</v>
      </c>
      <c r="BB27" s="24">
        <v>64.295302013422813</v>
      </c>
      <c r="BC27" s="60"/>
      <c r="BD27" s="24"/>
      <c r="BE27" s="24">
        <v>64.295302013422813</v>
      </c>
      <c r="BF27" s="24">
        <v>64.295302013422813</v>
      </c>
      <c r="BG27" s="24">
        <v>64.295302013422813</v>
      </c>
      <c r="BH27" s="24">
        <v>64.295302013422813</v>
      </c>
      <c r="BI27" s="60"/>
      <c r="BJ27" s="24"/>
      <c r="BK27" s="24">
        <v>64.900000000000006</v>
      </c>
      <c r="BL27" s="24">
        <v>64.900000000000006</v>
      </c>
      <c r="BM27" s="24">
        <v>64.900000000000006</v>
      </c>
      <c r="BN27" s="24">
        <v>64.900000000000006</v>
      </c>
      <c r="BO27" s="60"/>
      <c r="BP27" s="24"/>
      <c r="BQ27" s="24">
        <v>65.400000000000006</v>
      </c>
      <c r="BR27" s="24">
        <v>65.400000000000006</v>
      </c>
      <c r="BS27" s="24">
        <v>65.5</v>
      </c>
      <c r="BT27" s="24">
        <v>72</v>
      </c>
      <c r="BU27" s="60"/>
      <c r="BV27" s="24"/>
      <c r="BW27" s="24">
        <v>72.7</v>
      </c>
      <c r="BX27" s="24">
        <v>72.8</v>
      </c>
      <c r="BY27" s="24">
        <v>72.8</v>
      </c>
      <c r="BZ27" s="24">
        <v>72.8</v>
      </c>
      <c r="CA27" s="60"/>
      <c r="CC27" s="24">
        <v>72.8</v>
      </c>
      <c r="CD27" s="24">
        <v>72.8</v>
      </c>
      <c r="CE27" s="24">
        <v>72.8</v>
      </c>
      <c r="CF27" s="24">
        <v>72.8</v>
      </c>
      <c r="CG27" s="60"/>
      <c r="CI27" s="24">
        <v>72.8</v>
      </c>
      <c r="CJ27" s="24">
        <v>72.8</v>
      </c>
      <c r="CK27" s="24">
        <v>72.8</v>
      </c>
      <c r="CL27" s="24">
        <v>73.2</v>
      </c>
      <c r="CM27" s="60"/>
      <c r="CO27" s="24">
        <v>73.3</v>
      </c>
      <c r="CP27" s="24">
        <v>86.6</v>
      </c>
      <c r="CQ27" s="24">
        <v>86.6</v>
      </c>
      <c r="CR27" s="24">
        <v>115.4</v>
      </c>
      <c r="CS27" s="60"/>
      <c r="CU27" s="24">
        <v>115.4</v>
      </c>
      <c r="CV27" s="24">
        <v>115.4</v>
      </c>
      <c r="CW27" s="24">
        <v>115.4</v>
      </c>
      <c r="CX27" s="24">
        <v>115.4</v>
      </c>
      <c r="CY27" s="60"/>
      <c r="DA27" s="24">
        <v>115.4</v>
      </c>
      <c r="DB27" s="24">
        <v>115.4</v>
      </c>
      <c r="DC27" s="24">
        <v>115.4</v>
      </c>
      <c r="DD27" s="24">
        <v>115.4</v>
      </c>
      <c r="DE27" s="60"/>
      <c r="DG27" s="24">
        <v>115.4</v>
      </c>
      <c r="DH27" s="24">
        <v>115.4</v>
      </c>
      <c r="DI27" s="24">
        <v>144.30000000000001</v>
      </c>
      <c r="DJ27" s="24">
        <v>144.30000000000001</v>
      </c>
      <c r="DK27" s="60"/>
      <c r="DM27" s="4">
        <v>144</v>
      </c>
      <c r="DN27" s="4">
        <v>144</v>
      </c>
      <c r="DO27" s="4">
        <v>144</v>
      </c>
      <c r="DP27" s="4">
        <v>144</v>
      </c>
      <c r="DQ27" s="29">
        <f t="shared" ref="DQ27:DQ32" si="8">+DP27</f>
        <v>144</v>
      </c>
      <c r="DS27" s="4">
        <v>144</v>
      </c>
      <c r="DT27" s="4">
        <v>144</v>
      </c>
      <c r="DU27" s="4">
        <v>144</v>
      </c>
      <c r="DV27" s="4"/>
      <c r="DW27" s="29">
        <f>+DU27</f>
        <v>144</v>
      </c>
    </row>
    <row r="28" spans="1:127" x14ac:dyDescent="0.2">
      <c r="A28" s="2" t="s">
        <v>223</v>
      </c>
      <c r="C28" s="24">
        <v>368.05369127516775</v>
      </c>
      <c r="D28" s="24">
        <v>362.81879194630869</v>
      </c>
      <c r="E28" s="24">
        <v>345.36912751677852</v>
      </c>
      <c r="F28" s="24">
        <v>358.65771812080538</v>
      </c>
      <c r="G28" s="60"/>
      <c r="H28" s="24"/>
      <c r="I28" s="24">
        <v>363.89261744966444</v>
      </c>
      <c r="J28" s="24">
        <v>339.06040268456377</v>
      </c>
      <c r="K28" s="24">
        <v>357.44966442953017</v>
      </c>
      <c r="L28" s="24">
        <v>374.09395973154363</v>
      </c>
      <c r="M28" s="60"/>
      <c r="N28" s="24"/>
      <c r="O28" s="24">
        <v>387.5167785234899</v>
      </c>
      <c r="P28" s="24">
        <v>382.14765100671138</v>
      </c>
      <c r="Q28" s="24">
        <v>397.31543624161071</v>
      </c>
      <c r="R28" s="24">
        <v>435.70469798657717</v>
      </c>
      <c r="S28" s="60"/>
      <c r="T28" s="24"/>
      <c r="U28" s="24">
        <v>447.91946308724829</v>
      </c>
      <c r="V28" s="24">
        <v>450.33557046979865</v>
      </c>
      <c r="W28" s="24">
        <v>482.95302013422815</v>
      </c>
      <c r="X28" s="24">
        <v>460</v>
      </c>
      <c r="Y28" s="60"/>
      <c r="Z28" s="24"/>
      <c r="AA28" s="24">
        <v>463.23489932885906</v>
      </c>
      <c r="AB28" s="24">
        <v>470.8724832214765</v>
      </c>
      <c r="AC28" s="24">
        <v>474.8993288590604</v>
      </c>
      <c r="AD28" s="24">
        <v>499.19463087248323</v>
      </c>
      <c r="AE28" s="60"/>
      <c r="AF28" s="24"/>
      <c r="AG28" s="24">
        <v>511.40939597315435</v>
      </c>
      <c r="AH28" s="24">
        <v>540.93959731543623</v>
      </c>
      <c r="AI28" s="24">
        <v>535.83892617449658</v>
      </c>
      <c r="AJ28" s="24">
        <v>551.00671140939596</v>
      </c>
      <c r="AK28" s="60"/>
      <c r="AL28" s="24"/>
      <c r="AM28" s="24">
        <v>535.43624161073819</v>
      </c>
      <c r="AN28" s="24">
        <v>534.63087248322142</v>
      </c>
      <c r="AO28" s="24">
        <v>536.91275167785238</v>
      </c>
      <c r="AP28" s="24">
        <v>544.96644295302008</v>
      </c>
      <c r="AQ28" s="60"/>
      <c r="AR28" s="24"/>
      <c r="AS28" s="24">
        <v>552.48322147651004</v>
      </c>
      <c r="AT28" s="24">
        <v>745.234899328859</v>
      </c>
      <c r="AU28" s="24">
        <v>758.38926174496646</v>
      </c>
      <c r="AV28" s="24">
        <v>769.1275167785235</v>
      </c>
      <c r="AW28" s="60"/>
      <c r="AX28" s="24"/>
      <c r="AY28" s="24">
        <v>747.78523489932888</v>
      </c>
      <c r="AZ28" s="24">
        <v>752.08053691275165</v>
      </c>
      <c r="BA28" s="24">
        <f>(+'Balance Sheet'!AS22)/7.45</f>
        <v>101.09454529075266</v>
      </c>
      <c r="BB28" s="24">
        <v>760.67114093959731</v>
      </c>
      <c r="BC28" s="60"/>
      <c r="BD28" s="24"/>
      <c r="BE28" s="24">
        <f>(+'Balance Sheet'!AV22)/7.45</f>
        <v>100.89635601999909</v>
      </c>
      <c r="BF28" s="24">
        <f>(+'Balance Sheet'!AW22)/7.45</f>
        <v>102.42781856673122</v>
      </c>
      <c r="BG28" s="24">
        <f>(+'Balance Sheet'!AX22)/7.45</f>
        <v>106.53574163325976</v>
      </c>
      <c r="BH28" s="24">
        <f>(+'Balance Sheet'!AY22)/7.45</f>
        <v>107.54470519345975</v>
      </c>
      <c r="BI28" s="60"/>
      <c r="BJ28" s="24"/>
      <c r="BK28" s="24">
        <v>846.97986577181211</v>
      </c>
      <c r="BL28" s="24">
        <v>802.55033557046977</v>
      </c>
      <c r="BM28" s="24">
        <v>798.79194630872485</v>
      </c>
      <c r="BN28" s="24">
        <v>808.6</v>
      </c>
      <c r="BO28" s="60"/>
      <c r="BP28" s="24"/>
      <c r="BQ28" s="24">
        <v>802.1</v>
      </c>
      <c r="BR28" s="24">
        <v>801.7</v>
      </c>
      <c r="BS28" s="24">
        <v>760.2</v>
      </c>
      <c r="BT28" s="24">
        <v>951.4</v>
      </c>
      <c r="BU28" s="60"/>
      <c r="BV28" s="24"/>
      <c r="BW28" s="24">
        <v>971.5</v>
      </c>
      <c r="BX28" s="24">
        <v>982.2</v>
      </c>
      <c r="BY28" s="24">
        <f>+'Balance Sheet'!BM22</f>
        <v>993.3</v>
      </c>
      <c r="BZ28" s="24">
        <f>+'Balance Sheet'!BN22</f>
        <v>816.3</v>
      </c>
      <c r="CA28" s="60"/>
      <c r="CC28" s="24">
        <v>774.9</v>
      </c>
      <c r="CD28" s="24">
        <v>767.2</v>
      </c>
      <c r="CE28" s="24">
        <v>774.5</v>
      </c>
      <c r="CF28" s="24">
        <f>745.6-2.4</f>
        <v>743.2</v>
      </c>
      <c r="CG28" s="60"/>
      <c r="CI28" s="24">
        <v>713.8</v>
      </c>
      <c r="CJ28" s="24">
        <v>687.7</v>
      </c>
      <c r="CK28" s="24">
        <v>656</v>
      </c>
      <c r="CL28" s="24">
        <v>651.4</v>
      </c>
      <c r="CM28" s="60"/>
      <c r="CO28" s="24">
        <v>569.5</v>
      </c>
      <c r="CP28" s="24">
        <v>705.8</v>
      </c>
      <c r="CQ28" s="24">
        <v>703</v>
      </c>
      <c r="CR28" s="24">
        <v>924</v>
      </c>
      <c r="CS28" s="60"/>
      <c r="CU28" s="24">
        <v>954.8</v>
      </c>
      <c r="CV28" s="24">
        <v>1005.6</v>
      </c>
      <c r="CW28" s="24">
        <v>979</v>
      </c>
      <c r="CX28" s="24">
        <v>1007.5</v>
      </c>
      <c r="CY28" s="60"/>
      <c r="DA28" s="24">
        <v>1061.5999999999999</v>
      </c>
      <c r="DB28" s="24">
        <v>944.8</v>
      </c>
      <c r="DC28" s="24">
        <v>931.3</v>
      </c>
      <c r="DD28" s="24">
        <v>990.2</v>
      </c>
      <c r="DE28" s="60"/>
      <c r="DG28" s="24">
        <v>898.45227516778505</v>
      </c>
      <c r="DH28" s="24">
        <v>824.65227516778521</v>
      </c>
      <c r="DI28" s="24">
        <v>1224.0522751677854</v>
      </c>
      <c r="DJ28" s="24">
        <v>1275.3</v>
      </c>
      <c r="DK28" s="60"/>
      <c r="DM28" s="4">
        <v>1295</v>
      </c>
      <c r="DN28" s="4">
        <v>1524</v>
      </c>
      <c r="DO28" s="4">
        <v>1574</v>
      </c>
      <c r="DP28" s="4">
        <v>1554</v>
      </c>
      <c r="DQ28" s="29">
        <f t="shared" si="8"/>
        <v>1554</v>
      </c>
      <c r="DS28" s="4">
        <v>1684</v>
      </c>
      <c r="DT28" s="4">
        <f>1792-DT27</f>
        <v>1648</v>
      </c>
      <c r="DU28" s="4">
        <v>1734</v>
      </c>
      <c r="DV28" s="4"/>
      <c r="DW28" s="29">
        <f>+DU28</f>
        <v>1734</v>
      </c>
    </row>
    <row r="29" spans="1:127" x14ac:dyDescent="0.2">
      <c r="A29" s="2" t="s">
        <v>173</v>
      </c>
      <c r="C29" s="24"/>
      <c r="D29" s="24"/>
      <c r="E29" s="24"/>
      <c r="F29" s="24"/>
      <c r="G29" s="60"/>
      <c r="H29" s="24"/>
      <c r="I29" s="24"/>
      <c r="J29" s="24"/>
      <c r="K29" s="24"/>
      <c r="L29" s="24"/>
      <c r="M29" s="60"/>
      <c r="N29" s="24"/>
      <c r="O29" s="24"/>
      <c r="P29" s="24"/>
      <c r="Q29" s="24"/>
      <c r="R29" s="24"/>
      <c r="S29" s="60"/>
      <c r="T29" s="24"/>
      <c r="U29" s="24"/>
      <c r="V29" s="24"/>
      <c r="W29" s="24"/>
      <c r="X29" s="24"/>
      <c r="Y29" s="60"/>
      <c r="Z29" s="24"/>
      <c r="AA29" s="24"/>
      <c r="AB29" s="24"/>
      <c r="AC29" s="24"/>
      <c r="AD29" s="24"/>
      <c r="AE29" s="60"/>
      <c r="AF29" s="24"/>
      <c r="AG29" s="24"/>
      <c r="AH29" s="24"/>
      <c r="AI29" s="24"/>
      <c r="AJ29" s="24"/>
      <c r="AK29" s="60"/>
      <c r="AL29" s="24"/>
      <c r="AM29" s="24"/>
      <c r="AN29" s="24"/>
      <c r="AO29" s="24"/>
      <c r="AP29" s="24"/>
      <c r="AQ29" s="60"/>
      <c r="AR29" s="24"/>
      <c r="AS29" s="24"/>
      <c r="AT29" s="24"/>
      <c r="AU29" s="24"/>
      <c r="AV29" s="24"/>
      <c r="AW29" s="60"/>
      <c r="AX29" s="24"/>
      <c r="AY29" s="24"/>
      <c r="AZ29" s="24"/>
      <c r="BA29" s="24"/>
      <c r="BB29" s="24"/>
      <c r="BC29" s="60"/>
      <c r="BD29" s="24"/>
      <c r="BE29" s="24"/>
      <c r="BF29" s="24"/>
      <c r="BG29" s="24"/>
      <c r="BH29" s="24"/>
      <c r="BI29" s="60"/>
      <c r="BJ29" s="24"/>
      <c r="BK29" s="24"/>
      <c r="BL29" s="24"/>
      <c r="BM29" s="24"/>
      <c r="BN29" s="24"/>
      <c r="BO29" s="60"/>
      <c r="BP29" s="24"/>
      <c r="BQ29" s="24"/>
      <c r="BR29" s="24"/>
      <c r="BS29" s="24"/>
      <c r="BT29" s="24"/>
      <c r="BU29" s="60"/>
      <c r="BV29" s="24"/>
      <c r="BW29" s="24"/>
      <c r="BX29" s="24"/>
      <c r="BY29" s="24"/>
      <c r="BZ29" s="24"/>
      <c r="CA29" s="60"/>
      <c r="CC29" s="24"/>
      <c r="CD29" s="24"/>
      <c r="CE29" s="24">
        <v>150</v>
      </c>
      <c r="CF29" s="24">
        <f>150+2.4</f>
        <v>152.4</v>
      </c>
      <c r="CG29" s="60"/>
      <c r="CI29" s="24">
        <v>154.4</v>
      </c>
      <c r="CJ29" s="24">
        <v>156.4</v>
      </c>
      <c r="CK29" s="24">
        <v>150.30000000000001</v>
      </c>
      <c r="CL29" s="24">
        <v>152.4</v>
      </c>
      <c r="CM29" s="60"/>
      <c r="CO29" s="24">
        <v>154.4</v>
      </c>
      <c r="CP29" s="24">
        <v>156.4</v>
      </c>
      <c r="CQ29" s="24">
        <v>150.30000000000001</v>
      </c>
      <c r="CR29" s="24">
        <v>152.4</v>
      </c>
      <c r="CS29" s="60"/>
      <c r="CU29" s="24">
        <v>154.4</v>
      </c>
      <c r="CV29" s="24">
        <v>156.4</v>
      </c>
      <c r="CW29" s="24">
        <v>150.30000000000001</v>
      </c>
      <c r="CX29" s="24">
        <v>152.4</v>
      </c>
      <c r="CY29" s="60"/>
      <c r="DA29" s="24">
        <v>154.4</v>
      </c>
      <c r="DB29" s="24">
        <v>156.4</v>
      </c>
      <c r="DC29" s="24">
        <v>150.9</v>
      </c>
      <c r="DD29" s="24">
        <v>153.6</v>
      </c>
      <c r="DE29" s="60"/>
      <c r="DG29" s="24">
        <v>156.30000000000001</v>
      </c>
      <c r="DH29" s="24">
        <v>159</v>
      </c>
      <c r="DI29" s="24">
        <v>152.6</v>
      </c>
      <c r="DJ29" s="24">
        <f>+'Balance Sheet'!CR23</f>
        <v>155.4</v>
      </c>
      <c r="DK29" s="60"/>
      <c r="DM29" s="4">
        <v>158</v>
      </c>
      <c r="DN29" s="4">
        <v>161</v>
      </c>
      <c r="DO29" s="4">
        <v>152</v>
      </c>
      <c r="DP29" s="4">
        <v>155</v>
      </c>
      <c r="DQ29" s="29">
        <f t="shared" si="8"/>
        <v>155</v>
      </c>
      <c r="DS29" s="4">
        <v>158</v>
      </c>
      <c r="DT29" s="4">
        <v>161</v>
      </c>
      <c r="DU29" s="4">
        <v>152</v>
      </c>
      <c r="DV29" s="4"/>
      <c r="DW29" s="29">
        <f t="shared" ref="DW29:DW32" si="9">+DU29</f>
        <v>152</v>
      </c>
    </row>
    <row r="30" spans="1:127" x14ac:dyDescent="0.2">
      <c r="A30" s="2" t="s">
        <v>22</v>
      </c>
      <c r="C30" s="24">
        <v>795.57046979865765</v>
      </c>
      <c r="D30" s="24">
        <v>810.20134228187919</v>
      </c>
      <c r="E30" s="24">
        <v>819.73154362416108</v>
      </c>
      <c r="F30" s="24">
        <v>829.1275167785235</v>
      </c>
      <c r="G30" s="60"/>
      <c r="H30" s="24"/>
      <c r="I30" s="24">
        <v>866.71140939597308</v>
      </c>
      <c r="J30" s="24">
        <v>928.32214765100673</v>
      </c>
      <c r="K30" s="24">
        <v>924.83221476510062</v>
      </c>
      <c r="L30" s="24">
        <v>986.57718120805362</v>
      </c>
      <c r="M30" s="60"/>
      <c r="N30" s="24"/>
      <c r="O30" s="24">
        <v>1072.4832214765102</v>
      </c>
      <c r="P30" s="24">
        <v>1152.7516778523491</v>
      </c>
      <c r="Q30" s="24">
        <v>1229.6644295302012</v>
      </c>
      <c r="R30" s="24">
        <v>1221.3422818791946</v>
      </c>
      <c r="S30" s="60"/>
      <c r="T30" s="24"/>
      <c r="U30" s="24">
        <v>1295.9731543624162</v>
      </c>
      <c r="V30" s="24">
        <v>1373.2885906040269</v>
      </c>
      <c r="W30" s="24">
        <v>1383.7583892617449</v>
      </c>
      <c r="X30" s="24">
        <v>1333.5570469798658</v>
      </c>
      <c r="Y30" s="60"/>
      <c r="Z30" s="24"/>
      <c r="AA30" s="24">
        <v>1306.6979865771812</v>
      </c>
      <c r="AB30" s="24">
        <v>1327.3825503355704</v>
      </c>
      <c r="AC30" s="24">
        <v>1354.765100671141</v>
      </c>
      <c r="AD30" s="24">
        <v>1358.9261744966443</v>
      </c>
      <c r="AE30" s="60"/>
      <c r="AF30" s="24"/>
      <c r="AG30" s="24">
        <v>1498.1208053691275</v>
      </c>
      <c r="AH30" s="24">
        <v>1628.724832214765</v>
      </c>
      <c r="AI30" s="24">
        <v>1658.1208053691275</v>
      </c>
      <c r="AJ30" s="24">
        <v>1685.3691275167785</v>
      </c>
      <c r="AK30" s="60"/>
      <c r="AL30" s="24"/>
      <c r="AM30" s="24">
        <v>1833.5570469798656</v>
      </c>
      <c r="AN30" s="24">
        <v>1816.1073825503356</v>
      </c>
      <c r="AO30" s="24">
        <v>1826.4429530201342</v>
      </c>
      <c r="AP30" s="24">
        <v>1803.8926174496644</v>
      </c>
      <c r="AQ30" s="60"/>
      <c r="AR30" s="24"/>
      <c r="AS30" s="24">
        <v>1848.4563758389261</v>
      </c>
      <c r="AT30" s="24">
        <v>1796.6442953020135</v>
      </c>
      <c r="AU30" s="24">
        <v>1772.8859060402683</v>
      </c>
      <c r="AV30" s="24">
        <v>1736.3758389261745</v>
      </c>
      <c r="AW30" s="60"/>
      <c r="AX30" s="24"/>
      <c r="AY30" s="24">
        <v>1833.6912751677851</v>
      </c>
      <c r="AZ30" s="24">
        <v>1804.6979865771812</v>
      </c>
      <c r="BA30" s="24">
        <f>(+'Balance Sheet'!AS34)/7.45</f>
        <v>243.84487185261926</v>
      </c>
      <c r="BB30" s="24">
        <v>1744.2953020134228</v>
      </c>
      <c r="BC30" s="60"/>
      <c r="BD30" s="24"/>
      <c r="BE30" s="24">
        <f>(+'Balance Sheet'!AV34)/7.45</f>
        <v>236.71005810549073</v>
      </c>
      <c r="BF30" s="24">
        <f>(+'Balance Sheet'!AW34)/7.45</f>
        <v>235.14256114589432</v>
      </c>
      <c r="BG30" s="24">
        <f>(+'Balance Sheet'!AX34)/7.45</f>
        <v>242.00711679654069</v>
      </c>
      <c r="BH30" s="24">
        <f>(+'Balance Sheet'!AY34)/7.45</f>
        <v>222.29629295977659</v>
      </c>
      <c r="BI30" s="60"/>
      <c r="BJ30" s="24"/>
      <c r="BK30" s="24">
        <f>(+'Balance Sheet'!BA19)/7.45</f>
        <v>248.51132831854417</v>
      </c>
      <c r="BL30" s="24">
        <v>1860.6711409395973</v>
      </c>
      <c r="BM30" s="24">
        <v>1735.8389261744967</v>
      </c>
      <c r="BN30" s="24">
        <v>1683.6</v>
      </c>
      <c r="BO30" s="60"/>
      <c r="BP30" s="24"/>
      <c r="BQ30" s="24">
        <f>+'Balance Sheet'!BF19</f>
        <v>1736.4</v>
      </c>
      <c r="BR30" s="24">
        <v>1787.2</v>
      </c>
      <c r="BS30" s="24">
        <v>1728.6</v>
      </c>
      <c r="BT30" s="24">
        <v>1747.1</v>
      </c>
      <c r="BU30" s="60"/>
      <c r="BV30" s="24"/>
      <c r="BW30" s="24">
        <f>+'Balance Sheet'!BK19</f>
        <v>2682.4</v>
      </c>
      <c r="BX30" s="24">
        <v>2809</v>
      </c>
      <c r="BY30" s="24">
        <f>+'Balance Sheet'!BM19</f>
        <v>2785.5</v>
      </c>
      <c r="BZ30" s="24">
        <f>+'Balance Sheet'!BN19</f>
        <v>1904.6000000000001</v>
      </c>
      <c r="CA30" s="60"/>
      <c r="CC30" s="24">
        <f>+'Balance Sheet'!BP19</f>
        <v>1923.3000000000002</v>
      </c>
      <c r="CD30" s="24">
        <v>1926.4</v>
      </c>
      <c r="CE30" s="24">
        <f>+'Balance Sheet'!BR19</f>
        <v>1938</v>
      </c>
      <c r="CF30" s="24">
        <f>+'Balance Sheet'!BS19</f>
        <v>1859.2000000000003</v>
      </c>
      <c r="CG30" s="60"/>
      <c r="CI30" s="24">
        <f>+'Balance Sheet'!BU19</f>
        <v>1867.8</v>
      </c>
      <c r="CJ30" s="24">
        <f>+'Balance Sheet'!BV19</f>
        <v>1895.8999999999999</v>
      </c>
      <c r="CK30" s="24">
        <v>1886.3</v>
      </c>
      <c r="CL30" s="24">
        <v>1789.4</v>
      </c>
      <c r="CM30" s="60"/>
      <c r="CO30" s="24">
        <f>+'Balance Sheet'!BZ19</f>
        <v>1795.7999999999997</v>
      </c>
      <c r="CP30" s="24">
        <f>+'Balance Sheet'!CA19</f>
        <v>1901.8</v>
      </c>
      <c r="CQ30" s="24">
        <f>+'Balance Sheet'!CB19</f>
        <v>2019.1</v>
      </c>
      <c r="CR30" s="24">
        <f>+'Balance Sheet'!CC19</f>
        <v>2150.6</v>
      </c>
      <c r="CS30" s="60"/>
      <c r="CU30" s="24">
        <v>2245.5</v>
      </c>
      <c r="CV30" s="24">
        <v>2405</v>
      </c>
      <c r="CW30" s="24">
        <v>2397.1</v>
      </c>
      <c r="CX30" s="24">
        <v>2553.4</v>
      </c>
      <c r="CY30" s="60"/>
      <c r="DA30" s="24">
        <v>2677.4</v>
      </c>
      <c r="DB30" s="24">
        <v>2628.1</v>
      </c>
      <c r="DC30" s="24">
        <v>2597.3000000000002</v>
      </c>
      <c r="DD30" s="24">
        <v>2767.4</v>
      </c>
      <c r="DE30" s="60"/>
      <c r="DG30" s="24">
        <f>+'Balance Sheet'!CO19</f>
        <v>2766.5</v>
      </c>
      <c r="DH30" s="24">
        <f>+'Balance Sheet'!CP19</f>
        <v>3044.3</v>
      </c>
      <c r="DI30" s="24">
        <f>+'Balance Sheet'!CQ19</f>
        <v>3562.1000000000004</v>
      </c>
      <c r="DJ30" s="24">
        <v>3604</v>
      </c>
      <c r="DK30" s="60"/>
      <c r="DM30" s="4">
        <f>+'Balance Sheet'!CT34</f>
        <v>3707</v>
      </c>
      <c r="DN30" s="4">
        <f>+'Balance Sheet'!CU34</f>
        <v>4597</v>
      </c>
      <c r="DO30" s="4">
        <v>4486</v>
      </c>
      <c r="DP30" s="4">
        <v>4859</v>
      </c>
      <c r="DQ30" s="29">
        <f t="shared" si="8"/>
        <v>4859</v>
      </c>
      <c r="DS30" s="4">
        <f>+'Balance Sheet'!CY34</f>
        <v>4930</v>
      </c>
      <c r="DT30" s="4">
        <f>+'Balance Sheet'!CZ34</f>
        <v>4938</v>
      </c>
      <c r="DU30" s="4">
        <f>+'Balance Sheet'!DA34</f>
        <v>5001</v>
      </c>
      <c r="DV30" s="4"/>
      <c r="DW30" s="29">
        <f t="shared" si="9"/>
        <v>5001</v>
      </c>
    </row>
    <row r="31" spans="1:127" x14ac:dyDescent="0.2">
      <c r="A31" s="2" t="s">
        <v>202</v>
      </c>
      <c r="C31" s="24">
        <v>45.2348993288591</v>
      </c>
      <c r="D31" s="24">
        <v>75.033557046979894</v>
      </c>
      <c r="E31" s="24">
        <v>115.167785234899</v>
      </c>
      <c r="F31" s="24">
        <v>102.55033557047</v>
      </c>
      <c r="G31" s="60"/>
      <c r="H31" s="24"/>
      <c r="I31" s="24">
        <v>157.85234899328901</v>
      </c>
      <c r="J31" s="24">
        <v>163.89261744966399</v>
      </c>
      <c r="K31" s="24">
        <v>156.77852348993301</v>
      </c>
      <c r="L31" s="24">
        <v>137.315436241611</v>
      </c>
      <c r="M31" s="60"/>
      <c r="N31" s="24"/>
      <c r="O31" s="24">
        <v>266.71140939597302</v>
      </c>
      <c r="P31" s="24">
        <v>311.275167785235</v>
      </c>
      <c r="Q31" s="24">
        <v>309.530201342282</v>
      </c>
      <c r="R31" s="24">
        <v>267.785234899329</v>
      </c>
      <c r="S31" s="60"/>
      <c r="T31" s="24"/>
      <c r="U31" s="24">
        <v>297.315436241611</v>
      </c>
      <c r="V31" s="24">
        <v>379.194630872483</v>
      </c>
      <c r="W31" s="24">
        <v>378.65771812080499</v>
      </c>
      <c r="X31" s="24">
        <v>303.35570469798699</v>
      </c>
      <c r="Y31" s="60"/>
      <c r="Z31" s="24"/>
      <c r="AA31" s="24">
        <v>306.48322147650998</v>
      </c>
      <c r="AB31" s="24">
        <v>347.24832214765098</v>
      </c>
      <c r="AC31" s="24">
        <v>359.86577181208099</v>
      </c>
      <c r="AD31" s="24">
        <v>365.77181208053702</v>
      </c>
      <c r="AE31" s="60"/>
      <c r="AF31" s="24"/>
      <c r="AG31" s="24">
        <v>455.570469798658</v>
      </c>
      <c r="AH31" s="24">
        <v>508.724832214765</v>
      </c>
      <c r="AI31" s="24">
        <v>556.24161073825496</v>
      </c>
      <c r="AJ31" s="24">
        <v>551.00671140939596</v>
      </c>
      <c r="AK31" s="60"/>
      <c r="AL31" s="24"/>
      <c r="AM31" s="24">
        <v>647.11409395973203</v>
      </c>
      <c r="AN31" s="24">
        <v>663.08724832214796</v>
      </c>
      <c r="AO31" s="24">
        <v>640.40268456375804</v>
      </c>
      <c r="AP31" s="24">
        <f>(4429)/7.45</f>
        <v>594.49664429530196</v>
      </c>
      <c r="AQ31" s="60"/>
      <c r="AR31" s="24"/>
      <c r="AS31" s="24">
        <v>602.81879194630903</v>
      </c>
      <c r="AT31" s="24">
        <v>361.34228187919501</v>
      </c>
      <c r="AU31" s="24">
        <v>369.26174496644302</v>
      </c>
      <c r="AV31" s="24">
        <v>256.24161073825502</v>
      </c>
      <c r="AW31" s="60"/>
      <c r="AX31" s="24"/>
      <c r="AY31" s="24">
        <v>372.61744966443001</v>
      </c>
      <c r="AZ31" s="24">
        <v>381.07382550335598</v>
      </c>
      <c r="BA31" s="24">
        <v>369.530201342282</v>
      </c>
      <c r="BB31" s="24">
        <v>283.35570469798699</v>
      </c>
      <c r="BC31" s="60"/>
      <c r="BD31" s="24"/>
      <c r="BE31" s="24">
        <v>268.32214765100701</v>
      </c>
      <c r="BF31" s="24">
        <v>269.530201342282</v>
      </c>
      <c r="BG31" s="24">
        <v>284.429530201342</v>
      </c>
      <c r="BH31" s="24">
        <v>152.348993288591</v>
      </c>
      <c r="BI31" s="60"/>
      <c r="BJ31" s="24"/>
      <c r="BK31" s="24">
        <v>177.44966442953</v>
      </c>
      <c r="BL31" s="24">
        <v>193.020134228188</v>
      </c>
      <c r="BM31" s="24">
        <v>167.51677852348999</v>
      </c>
      <c r="BN31" s="24">
        <v>88.9</v>
      </c>
      <c r="BO31" s="60"/>
      <c r="BP31" s="24"/>
      <c r="BQ31" s="24">
        <v>158.9</v>
      </c>
      <c r="BR31" s="24">
        <v>188.2</v>
      </c>
      <c r="BS31" s="24">
        <v>174.6</v>
      </c>
      <c r="BT31" s="24">
        <v>-68.400000000000006</v>
      </c>
      <c r="BU31" s="60"/>
      <c r="BV31" s="24"/>
      <c r="BW31" s="24">
        <v>616.79999999999995</v>
      </c>
      <c r="BX31" s="24">
        <v>742.3</v>
      </c>
      <c r="BY31" s="24">
        <v>720.1</v>
      </c>
      <c r="BZ31" s="24">
        <v>293.2</v>
      </c>
      <c r="CA31" s="60"/>
      <c r="CB31" s="151"/>
      <c r="CC31" s="24">
        <v>432.7</v>
      </c>
      <c r="CD31" s="24">
        <v>409.5</v>
      </c>
      <c r="CE31" s="24">
        <v>307.5</v>
      </c>
      <c r="CF31" s="24">
        <v>248.3</v>
      </c>
      <c r="CG31" s="60"/>
      <c r="CH31" s="151"/>
      <c r="CI31" s="24">
        <v>339</v>
      </c>
      <c r="CJ31" s="24">
        <v>336.1</v>
      </c>
      <c r="CK31" s="24">
        <v>349.9</v>
      </c>
      <c r="CL31" s="24">
        <v>242.2</v>
      </c>
      <c r="CM31" s="60"/>
      <c r="CO31" s="24">
        <v>378.1</v>
      </c>
      <c r="CP31" s="24">
        <v>323.8</v>
      </c>
      <c r="CQ31" s="24">
        <v>194.2</v>
      </c>
      <c r="CR31" s="24">
        <v>-25.9</v>
      </c>
      <c r="CS31" s="60"/>
      <c r="CU31" s="24">
        <v>30.5</v>
      </c>
      <c r="CV31" s="24">
        <v>186.1</v>
      </c>
      <c r="CW31" s="24">
        <v>96.7</v>
      </c>
      <c r="CX31" s="24">
        <v>13.2</v>
      </c>
      <c r="CY31" s="60"/>
      <c r="DA31" s="24">
        <v>109.4</v>
      </c>
      <c r="DB31" s="24">
        <v>23.5</v>
      </c>
      <c r="DC31" s="24">
        <v>79.8</v>
      </c>
      <c r="DD31" s="24">
        <v>-54.8</v>
      </c>
      <c r="DE31" s="60"/>
      <c r="DG31" s="24">
        <v>50.1</v>
      </c>
      <c r="DH31" s="24">
        <v>-222.2</v>
      </c>
      <c r="DI31" s="24">
        <v>-674</v>
      </c>
      <c r="DJ31" s="24">
        <v>-670.6</v>
      </c>
      <c r="DK31" s="60"/>
      <c r="DM31" s="4">
        <v>-642</v>
      </c>
      <c r="DN31" s="4">
        <v>-1277</v>
      </c>
      <c r="DO31" s="4">
        <v>-1136</v>
      </c>
      <c r="DP31" s="4">
        <v>-1280</v>
      </c>
      <c r="DQ31" s="29">
        <f t="shared" si="8"/>
        <v>-1280</v>
      </c>
      <c r="DS31" s="4">
        <v>-953</v>
      </c>
      <c r="DT31" s="4">
        <v>-757</v>
      </c>
      <c r="DU31" s="4">
        <v>-640</v>
      </c>
      <c r="DV31" s="4"/>
      <c r="DW31" s="29">
        <f t="shared" si="9"/>
        <v>-640</v>
      </c>
    </row>
    <row r="32" spans="1:127" x14ac:dyDescent="0.2">
      <c r="A32" s="2" t="s">
        <v>29</v>
      </c>
      <c r="C32" s="24">
        <v>421.07382550335569</v>
      </c>
      <c r="D32" s="24">
        <v>445.7718120805369</v>
      </c>
      <c r="E32" s="24">
        <v>468.99328859060404</v>
      </c>
      <c r="F32" s="24">
        <v>469.66442953020135</v>
      </c>
      <c r="G32" s="60"/>
      <c r="H32" s="24"/>
      <c r="I32" s="24">
        <v>530.33557046979865</v>
      </c>
      <c r="J32" s="24">
        <v>512.48322147651004</v>
      </c>
      <c r="K32" s="24">
        <v>516.10738255033561</v>
      </c>
      <c r="L32" s="24">
        <v>513.95973154362412</v>
      </c>
      <c r="M32" s="60"/>
      <c r="N32" s="24"/>
      <c r="O32" s="24">
        <v>656.91275167785238</v>
      </c>
      <c r="P32" s="24">
        <v>696.77852348993292</v>
      </c>
      <c r="Q32" s="24">
        <v>710.73825503355704</v>
      </c>
      <c r="R32" s="24">
        <v>671.81208053691273</v>
      </c>
      <c r="S32" s="60"/>
      <c r="T32" s="24"/>
      <c r="U32" s="24">
        <v>750.46979865771812</v>
      </c>
      <c r="V32" s="24">
        <v>835.16778523489927</v>
      </c>
      <c r="W32" s="24">
        <v>867.78523489932888</v>
      </c>
      <c r="X32" s="24">
        <v>768.45637583892619</v>
      </c>
      <c r="Y32" s="60"/>
      <c r="Z32" s="24"/>
      <c r="AA32" s="24">
        <v>774.01342281879192</v>
      </c>
      <c r="AB32" s="24">
        <v>822.68456375838923</v>
      </c>
      <c r="AC32" s="24">
        <v>840.26845637583892</v>
      </c>
      <c r="AD32" s="24">
        <v>867.78523489932888</v>
      </c>
      <c r="AE32" s="60"/>
      <c r="AF32" s="24"/>
      <c r="AG32" s="24">
        <v>969.93288590604027</v>
      </c>
      <c r="AH32" s="24">
        <v>1052.7516778523491</v>
      </c>
      <c r="AI32" s="24">
        <v>1093.020134228188</v>
      </c>
      <c r="AJ32" s="24">
        <v>1103.0872483221476</v>
      </c>
      <c r="AK32" s="60"/>
      <c r="AL32" s="24"/>
      <c r="AM32" s="24">
        <f>(+'OLD Segment Data 2005-2019'!AM78)/7.45</f>
        <v>158.80365749290573</v>
      </c>
      <c r="AN32" s="24">
        <f>(+'OLD Segment Data 2005-2019'!AN78)/7.45</f>
        <v>160.85761902616997</v>
      </c>
      <c r="AO32" s="24">
        <f>(+'OLD Segment Data 2005-2019'!AO78)/7.45</f>
        <v>158.13702085491641</v>
      </c>
      <c r="AP32" s="24">
        <f>(+'OLD Segment Data 2005-2019'!AP78)/7.45</f>
        <v>153.07418584748433</v>
      </c>
      <c r="AQ32" s="60"/>
      <c r="AR32" s="24"/>
      <c r="AS32" s="24">
        <f>(+'OLD Segment Data 2005-2019'!AS78)/7.45</f>
        <v>156.04702490878788</v>
      </c>
      <c r="AT32" s="24">
        <v>1107.3825503355704</v>
      </c>
      <c r="AU32" s="24">
        <v>1128.5906040268455</v>
      </c>
      <c r="AV32" s="24">
        <v>1026.3087248322147</v>
      </c>
      <c r="AW32" s="60"/>
      <c r="AX32" s="24"/>
      <c r="AY32" s="24">
        <f>(+'OLD Segment Data 2005-2019'!AY78)</f>
        <v>1121.4765100671141</v>
      </c>
      <c r="AZ32" s="24">
        <f>(+'OLD Segment Data 2005-2019'!AZ78)</f>
        <v>1134.0939597315437</v>
      </c>
      <c r="BA32" s="24">
        <f>(+'OLD Segment Data 2005-2019'!BA78)</f>
        <v>1123.6241610738255</v>
      </c>
      <c r="BB32" s="24">
        <v>1044.9664429530201</v>
      </c>
      <c r="BC32" s="60"/>
      <c r="BD32" s="24"/>
      <c r="BE32" s="24">
        <f>(+'OLD Segment Data 2005-2019'!BE78)</f>
        <v>1020.8053691275167</v>
      </c>
      <c r="BF32" s="24">
        <f>(+'OLD Segment Data 2005-2019'!BF78)</f>
        <v>1033.4228187919464</v>
      </c>
      <c r="BG32" s="24">
        <f>(+'OLD Segment Data 2005-2019'!BG78)</f>
        <v>1078.9261744966443</v>
      </c>
      <c r="BH32" s="24">
        <f>(+'OLD Segment Data 2005-2019'!BH78)</f>
        <v>954.36241610738261</v>
      </c>
      <c r="BI32" s="60"/>
      <c r="BJ32" s="24"/>
      <c r="BK32" s="24">
        <f>(+'OLD Segment Data 2005-2019'!BK78)</f>
        <v>1025.234899328859</v>
      </c>
      <c r="BL32" s="24">
        <v>996.37583892617442</v>
      </c>
      <c r="BM32" s="24">
        <v>967.24832214765104</v>
      </c>
      <c r="BN32" s="24">
        <v>898.4</v>
      </c>
      <c r="BO32" s="60"/>
      <c r="BP32" s="24"/>
      <c r="BQ32" s="24">
        <f>(+'OLD Segment Data 2005-2019'!BQ78)</f>
        <v>974.9</v>
      </c>
      <c r="BR32" s="24">
        <f>(+'OLD Segment Data 2005-2019'!BR78)</f>
        <v>989.9</v>
      </c>
      <c r="BS32" s="24">
        <v>934.8</v>
      </c>
      <c r="BT32" s="24">
        <v>883</v>
      </c>
      <c r="BU32" s="60"/>
      <c r="BV32" s="24"/>
      <c r="BW32" s="24">
        <f>(+'OLD Segment Data 2005-2019'!BW78)</f>
        <v>1588.3</v>
      </c>
      <c r="BX32" s="24">
        <v>1724.5</v>
      </c>
      <c r="BY32" s="24">
        <f>+'OLD Segment Data 2005-2019'!BY78</f>
        <v>1713.4</v>
      </c>
      <c r="BZ32" s="24">
        <f>+'OLD Segment Data 2005-2019'!BZ78</f>
        <v>1109.5000000000002</v>
      </c>
      <c r="CA32" s="60"/>
      <c r="CC32" s="24">
        <f>(+'OLD Segment Data 2005-2019'!CC78)</f>
        <v>1207.5999999999999</v>
      </c>
      <c r="CD32" s="24">
        <f>(+'OLD Segment Data 2005-2019'!CD78)</f>
        <v>1176.7</v>
      </c>
      <c r="CE32" s="24">
        <f>(+'OLD Segment Data 2005-2019'!CE78)</f>
        <v>1232</v>
      </c>
      <c r="CF32" s="24">
        <f>(+'OLD Segment Data 2005-2019'!CF78)</f>
        <v>1143.8999999999999</v>
      </c>
      <c r="CG32" s="60"/>
      <c r="CI32" s="24">
        <f>(+'OLD Segment Data 2005-2019'!CI78)</f>
        <v>1207.2</v>
      </c>
      <c r="CJ32" s="24">
        <v>1180.2</v>
      </c>
      <c r="CK32" s="24">
        <f>(+'OLD Segment Data 2005-2019'!CK78)</f>
        <v>1156.2</v>
      </c>
      <c r="CL32" s="24">
        <f>(+'OLD Segment Data 2005-2019'!CL78)</f>
        <v>1046</v>
      </c>
      <c r="CM32" s="60"/>
      <c r="CO32" s="24">
        <f>+'Segment Data 2017-2025'!U91</f>
        <v>1102</v>
      </c>
      <c r="CP32" s="24">
        <f>+'Segment Data 2017-2025'!V91</f>
        <v>1186</v>
      </c>
      <c r="CQ32" s="24">
        <v>1047.5</v>
      </c>
      <c r="CR32" s="24">
        <v>1050.5</v>
      </c>
      <c r="CS32" s="60"/>
      <c r="CU32" s="24">
        <v>1139.7</v>
      </c>
      <c r="CV32" s="24">
        <f>+'Segment Data 2017-2025'!AB91</f>
        <v>1348.1000000000001</v>
      </c>
      <c r="CW32" s="24">
        <f>+'Segment Data 2017-2025'!AC91</f>
        <v>1226</v>
      </c>
      <c r="CX32" s="24">
        <f>+'Segment Data 2017-2025'!AD91</f>
        <v>1173.0999999999999</v>
      </c>
      <c r="CY32" s="60"/>
      <c r="DA32" s="24">
        <v>1325.4</v>
      </c>
      <c r="DB32" s="24">
        <v>1124.7</v>
      </c>
      <c r="DC32" s="24">
        <v>1162</v>
      </c>
      <c r="DD32" s="24">
        <v>1089</v>
      </c>
      <c r="DE32" s="60"/>
      <c r="DG32" s="24">
        <v>1220.4000000000001</v>
      </c>
      <c r="DH32" s="24">
        <v>876.9</v>
      </c>
      <c r="DI32" s="24">
        <v>847</v>
      </c>
      <c r="DJ32" s="24">
        <v>904.4</v>
      </c>
      <c r="DK32" s="60"/>
      <c r="DM32" s="4">
        <v>955</v>
      </c>
      <c r="DN32" s="4">
        <f>+'Segment Data 2017-2025'!AT89</f>
        <v>552</v>
      </c>
      <c r="DO32" s="4">
        <v>734</v>
      </c>
      <c r="DP32" s="4">
        <v>573</v>
      </c>
      <c r="DQ32" s="29">
        <f t="shared" si="8"/>
        <v>573</v>
      </c>
      <c r="DS32" s="4">
        <f>+'Segment Data 2017-2025'!AY89</f>
        <v>1033</v>
      </c>
      <c r="DT32" s="4">
        <v>1196</v>
      </c>
      <c r="DU32" s="4">
        <v>1388</v>
      </c>
      <c r="DV32" s="4"/>
      <c r="DW32" s="29">
        <f t="shared" si="9"/>
        <v>1388</v>
      </c>
    </row>
    <row r="33" spans="1:127" x14ac:dyDescent="0.2">
      <c r="C33" s="24"/>
      <c r="D33" s="24"/>
      <c r="E33" s="24"/>
      <c r="F33" s="24"/>
      <c r="G33" s="60"/>
      <c r="H33" s="24"/>
      <c r="I33" s="24"/>
      <c r="J33" s="24"/>
      <c r="K33" s="24"/>
      <c r="L33" s="24"/>
      <c r="M33" s="60"/>
      <c r="N33" s="24"/>
      <c r="O33" s="24"/>
      <c r="P33" s="24"/>
      <c r="Q33" s="24"/>
      <c r="R33" s="24"/>
      <c r="S33" s="60"/>
      <c r="T33" s="24"/>
      <c r="U33" s="24"/>
      <c r="V33" s="24"/>
      <c r="W33" s="24"/>
      <c r="X33" s="24"/>
      <c r="Y33" s="60"/>
      <c r="Z33" s="24"/>
      <c r="AA33" s="24"/>
      <c r="AB33" s="24"/>
      <c r="AC33" s="24"/>
      <c r="AD33" s="24"/>
      <c r="AE33" s="60"/>
      <c r="AF33" s="24"/>
      <c r="AG33" s="24"/>
      <c r="AH33" s="24"/>
      <c r="AI33" s="24"/>
      <c r="AJ33" s="24"/>
      <c r="AK33" s="60"/>
      <c r="AL33" s="24"/>
      <c r="AM33" s="24"/>
      <c r="AN33" s="24"/>
      <c r="AO33" s="24"/>
      <c r="AP33" s="24"/>
      <c r="AQ33" s="60"/>
      <c r="AR33" s="24"/>
      <c r="AS33" s="24"/>
      <c r="AT33" s="24"/>
      <c r="AU33" s="24"/>
      <c r="AV33" s="24"/>
      <c r="AW33" s="60"/>
      <c r="AX33" s="24"/>
      <c r="AY33" s="24"/>
      <c r="AZ33" s="24"/>
      <c r="BA33" s="24"/>
      <c r="BB33" s="24"/>
      <c r="BC33" s="60"/>
      <c r="BD33" s="24"/>
      <c r="BE33" s="24"/>
      <c r="BF33" s="24"/>
      <c r="BG33" s="24"/>
      <c r="BH33" s="24"/>
      <c r="BI33" s="60"/>
      <c r="BJ33" s="24"/>
      <c r="BK33" s="24"/>
      <c r="BL33" s="24"/>
      <c r="BM33" s="24"/>
      <c r="BN33" s="24"/>
      <c r="BO33" s="60"/>
      <c r="BP33" s="24"/>
      <c r="BQ33" s="24"/>
      <c r="BR33" s="24"/>
      <c r="BS33" s="24"/>
      <c r="BT33" s="24"/>
      <c r="BU33" s="60"/>
      <c r="BV33" s="24"/>
      <c r="BW33" s="24"/>
      <c r="BX33" s="24"/>
      <c r="BY33" s="24"/>
      <c r="BZ33" s="24"/>
      <c r="CA33" s="60"/>
      <c r="CC33" s="24"/>
      <c r="CD33" s="24"/>
      <c r="CE33" s="24"/>
      <c r="CF33" s="24"/>
      <c r="CG33" s="60"/>
      <c r="CI33" s="24"/>
      <c r="CJ33" s="24"/>
      <c r="CK33" s="24"/>
      <c r="CL33" s="24"/>
      <c r="CM33" s="60"/>
      <c r="CO33" s="24"/>
      <c r="CP33" s="24"/>
      <c r="CQ33" s="24"/>
      <c r="CR33" s="24"/>
      <c r="CS33" s="60"/>
      <c r="CU33" s="24"/>
      <c r="CV33" s="24"/>
      <c r="CW33" s="24"/>
      <c r="CX33" s="24"/>
      <c r="CY33" s="60"/>
      <c r="DA33" s="24"/>
      <c r="DB33" s="24"/>
      <c r="DC33" s="24"/>
      <c r="DD33" s="24"/>
      <c r="DE33" s="60"/>
      <c r="DG33" s="24"/>
      <c r="DH33" s="24"/>
      <c r="DI33" s="24"/>
      <c r="DJ33" s="24"/>
      <c r="DK33" s="60"/>
      <c r="DM33" s="4"/>
      <c r="DN33" s="4"/>
      <c r="DO33" s="4"/>
      <c r="DP33" s="4"/>
      <c r="DQ33" s="60"/>
      <c r="DS33" s="4"/>
      <c r="DT33" s="4"/>
      <c r="DU33" s="4"/>
      <c r="DV33" s="4"/>
      <c r="DW33" s="60"/>
    </row>
    <row r="34" spans="1:127" s="35" customFormat="1" x14ac:dyDescent="0.2">
      <c r="A34" s="34" t="s">
        <v>41</v>
      </c>
      <c r="C34" s="70"/>
      <c r="D34" s="70"/>
      <c r="E34" s="70"/>
      <c r="F34" s="70"/>
      <c r="G34" s="71"/>
      <c r="H34" s="72"/>
      <c r="I34" s="70"/>
      <c r="J34" s="70"/>
      <c r="K34" s="70"/>
      <c r="L34" s="70"/>
      <c r="M34" s="71"/>
      <c r="N34" s="72"/>
      <c r="O34" s="70"/>
      <c r="P34" s="70"/>
      <c r="Q34" s="70"/>
      <c r="R34" s="70"/>
      <c r="S34" s="71"/>
      <c r="T34" s="72"/>
      <c r="U34" s="70"/>
      <c r="V34" s="70"/>
      <c r="W34" s="70"/>
      <c r="X34" s="70"/>
      <c r="Y34" s="71"/>
      <c r="Z34" s="72"/>
      <c r="AA34" s="70"/>
      <c r="AB34" s="70"/>
      <c r="AC34" s="70"/>
      <c r="AD34" s="70"/>
      <c r="AE34" s="71"/>
      <c r="AF34" s="72"/>
      <c r="AG34" s="70"/>
      <c r="AH34" s="70"/>
      <c r="AI34" s="70"/>
      <c r="AJ34" s="70"/>
      <c r="AK34" s="71"/>
      <c r="AL34" s="72"/>
      <c r="AM34" s="70"/>
      <c r="AN34" s="70"/>
      <c r="AO34" s="70"/>
      <c r="AP34" s="70"/>
      <c r="AQ34" s="71"/>
      <c r="AR34" s="72"/>
      <c r="AS34" s="70"/>
      <c r="AT34" s="70"/>
      <c r="AU34" s="70"/>
      <c r="AV34" s="70"/>
      <c r="AW34" s="71"/>
      <c r="AX34" s="72"/>
      <c r="AY34" s="70"/>
      <c r="AZ34" s="70"/>
      <c r="BA34" s="70"/>
      <c r="BB34" s="70"/>
      <c r="BC34" s="71"/>
      <c r="BD34" s="72"/>
      <c r="BE34" s="70"/>
      <c r="BF34" s="70"/>
      <c r="BG34" s="70"/>
      <c r="BH34" s="70"/>
      <c r="BI34" s="71"/>
      <c r="BJ34" s="72"/>
      <c r="BK34" s="70"/>
      <c r="BL34" s="70"/>
      <c r="BM34" s="70"/>
      <c r="BN34" s="70"/>
      <c r="BO34" s="71"/>
      <c r="BP34" s="72"/>
      <c r="BQ34" s="70"/>
      <c r="BR34" s="70"/>
      <c r="BS34" s="70"/>
      <c r="BT34" s="70"/>
      <c r="BU34" s="71"/>
      <c r="BV34" s="72"/>
      <c r="BW34" s="70"/>
      <c r="BX34" s="70"/>
      <c r="BY34" s="70"/>
      <c r="BZ34" s="70"/>
      <c r="CA34" s="71"/>
      <c r="CC34" s="70"/>
      <c r="CD34" s="70"/>
      <c r="CE34" s="70"/>
      <c r="CF34" s="70"/>
      <c r="CG34" s="71"/>
      <c r="CI34" s="70"/>
      <c r="CJ34" s="70"/>
      <c r="CK34" s="70"/>
      <c r="CL34" s="70"/>
      <c r="CM34" s="71"/>
      <c r="CO34" s="70"/>
      <c r="CP34" s="70"/>
      <c r="CQ34" s="70"/>
      <c r="CR34" s="70"/>
      <c r="CS34" s="71"/>
      <c r="CU34" s="70"/>
      <c r="CV34" s="70"/>
      <c r="CW34" s="70"/>
      <c r="CX34" s="70"/>
      <c r="CY34" s="71"/>
      <c r="DA34" s="70"/>
      <c r="DB34" s="70"/>
      <c r="DC34" s="70"/>
      <c r="DD34" s="70"/>
      <c r="DE34" s="71"/>
      <c r="DG34" s="70"/>
      <c r="DH34" s="70"/>
      <c r="DI34" s="70"/>
      <c r="DJ34" s="70"/>
      <c r="DK34" s="71"/>
      <c r="DM34" s="254"/>
      <c r="DN34" s="254"/>
      <c r="DO34" s="254"/>
      <c r="DP34" s="254"/>
      <c r="DQ34" s="71"/>
      <c r="DS34" s="254"/>
      <c r="DT34" s="254"/>
      <c r="DU34" s="254"/>
      <c r="DV34" s="254"/>
      <c r="DW34" s="71"/>
    </row>
    <row r="35" spans="1:127" ht="3.75" customHeight="1" x14ac:dyDescent="0.2">
      <c r="C35" s="24"/>
      <c r="D35" s="24"/>
      <c r="E35" s="24"/>
      <c r="F35" s="24"/>
      <c r="G35" s="60"/>
      <c r="H35" s="24"/>
      <c r="I35" s="24"/>
      <c r="J35" s="24"/>
      <c r="K35" s="24"/>
      <c r="L35" s="24"/>
      <c r="M35" s="60"/>
      <c r="N35" s="24"/>
      <c r="O35" s="24"/>
      <c r="P35" s="24"/>
      <c r="Q35" s="24"/>
      <c r="R35" s="24"/>
      <c r="S35" s="60"/>
      <c r="T35" s="24"/>
      <c r="U35" s="24"/>
      <c r="V35" s="24"/>
      <c r="W35" s="24"/>
      <c r="X35" s="24"/>
      <c r="Y35" s="60"/>
      <c r="Z35" s="24"/>
      <c r="AA35" s="24"/>
      <c r="AB35" s="24"/>
      <c r="AC35" s="24"/>
      <c r="AD35" s="24"/>
      <c r="AE35" s="60"/>
      <c r="AF35" s="24"/>
      <c r="AG35" s="24"/>
      <c r="AH35" s="24"/>
      <c r="AI35" s="24"/>
      <c r="AJ35" s="24"/>
      <c r="AK35" s="60"/>
      <c r="AL35" s="24"/>
      <c r="AM35" s="24"/>
      <c r="AN35" s="24"/>
      <c r="AO35" s="24"/>
      <c r="AP35" s="24"/>
      <c r="AQ35" s="60"/>
      <c r="AR35" s="24"/>
      <c r="AS35" s="24"/>
      <c r="AT35" s="24"/>
      <c r="AU35" s="24"/>
      <c r="AV35" s="24"/>
      <c r="AW35" s="60"/>
      <c r="AX35" s="24"/>
      <c r="AY35" s="24"/>
      <c r="AZ35" s="24"/>
      <c r="BA35" s="24"/>
      <c r="BB35" s="24"/>
      <c r="BC35" s="60"/>
      <c r="BD35" s="24"/>
      <c r="BE35" s="24"/>
      <c r="BF35" s="24"/>
      <c r="BG35" s="24"/>
      <c r="BH35" s="24"/>
      <c r="BI35" s="60"/>
      <c r="BJ35" s="24"/>
      <c r="BK35" s="24"/>
      <c r="BL35" s="24"/>
      <c r="BM35" s="24"/>
      <c r="BN35" s="24"/>
      <c r="BO35" s="60"/>
      <c r="BP35" s="24"/>
      <c r="BQ35" s="24"/>
      <c r="BR35" s="24"/>
      <c r="BS35" s="24"/>
      <c r="BT35" s="24"/>
      <c r="BU35" s="60"/>
      <c r="BV35" s="24"/>
      <c r="BW35" s="24"/>
      <c r="BX35" s="24"/>
      <c r="BY35" s="24"/>
      <c r="BZ35" s="24"/>
      <c r="CA35" s="60"/>
      <c r="CC35" s="24"/>
      <c r="CD35" s="24"/>
      <c r="CE35" s="24"/>
      <c r="CF35" s="24"/>
      <c r="CG35" s="60"/>
      <c r="CI35" s="24"/>
      <c r="CJ35" s="24"/>
      <c r="CK35" s="24"/>
      <c r="CL35" s="24"/>
      <c r="CM35" s="60"/>
      <c r="CO35" s="24"/>
      <c r="CP35" s="24"/>
      <c r="CQ35" s="24"/>
      <c r="CR35" s="24"/>
      <c r="CS35" s="60"/>
      <c r="CU35" s="24"/>
      <c r="CV35" s="24"/>
      <c r="CW35" s="24"/>
      <c r="CX35" s="24"/>
      <c r="CY35" s="60"/>
      <c r="DA35" s="24"/>
      <c r="DB35" s="24"/>
      <c r="DC35" s="24"/>
      <c r="DD35" s="24"/>
      <c r="DE35" s="60"/>
      <c r="DG35" s="24"/>
      <c r="DH35" s="24"/>
      <c r="DI35" s="24"/>
      <c r="DJ35" s="24"/>
      <c r="DK35" s="60"/>
      <c r="DM35" s="4"/>
      <c r="DN35" s="4"/>
      <c r="DO35" s="4"/>
      <c r="DP35" s="4"/>
      <c r="DQ35" s="60"/>
      <c r="DS35" s="4"/>
      <c r="DT35" s="4"/>
      <c r="DU35" s="4"/>
      <c r="DV35" s="4"/>
      <c r="DW35" s="60"/>
    </row>
    <row r="36" spans="1:127" x14ac:dyDescent="0.2">
      <c r="A36" s="2" t="s">
        <v>54</v>
      </c>
      <c r="C36" s="24">
        <v>-25.234899328859061</v>
      </c>
      <c r="D36" s="24">
        <v>2.6845637583892619</v>
      </c>
      <c r="E36" s="24">
        <v>7.3825503355704694</v>
      </c>
      <c r="F36" s="24">
        <v>20.671140939597315</v>
      </c>
      <c r="G36" s="60">
        <f>SUM(C36:F36)</f>
        <v>5.5033557046979862</v>
      </c>
      <c r="H36" s="24"/>
      <c r="I36" s="24">
        <v>-28.993288590604028</v>
      </c>
      <c r="J36" s="24">
        <v>10.604026845637584</v>
      </c>
      <c r="K36" s="24">
        <v>24.966442953020135</v>
      </c>
      <c r="L36" s="24">
        <v>28.993288590604028</v>
      </c>
      <c r="M36" s="60">
        <f>SUM(I36:L36)</f>
        <v>35.570469798657719</v>
      </c>
      <c r="N36" s="24"/>
      <c r="O36" s="24">
        <v>6.7114093959731544</v>
      </c>
      <c r="P36" s="24">
        <v>18.791946308724832</v>
      </c>
      <c r="Q36" s="24">
        <v>57.04697986577181</v>
      </c>
      <c r="R36" s="24">
        <v>73.422818791946312</v>
      </c>
      <c r="S36" s="60">
        <f>SUM(O36:R36)</f>
        <v>155.9731543624161</v>
      </c>
      <c r="T36" s="24"/>
      <c r="U36" s="24">
        <v>-33.557046979865774</v>
      </c>
      <c r="V36" s="24">
        <v>-3.087248322147651</v>
      </c>
      <c r="W36" s="24">
        <v>24.026845637583893</v>
      </c>
      <c r="X36" s="24">
        <v>115.03355704697987</v>
      </c>
      <c r="Y36" s="60">
        <f>SUM(U36:X36)</f>
        <v>102.41610738255034</v>
      </c>
      <c r="Z36" s="24"/>
      <c r="AA36" s="24">
        <v>22.416107382550337</v>
      </c>
      <c r="AB36" s="24">
        <v>2.8187919463087248</v>
      </c>
      <c r="AC36" s="24">
        <v>27.248322147651006</v>
      </c>
      <c r="AD36" s="24">
        <v>25.63758389261745</v>
      </c>
      <c r="AE36" s="60">
        <f>SUM(AA36:AD36)</f>
        <v>78.12080536912751</v>
      </c>
      <c r="AF36" s="24"/>
      <c r="AG36" s="24">
        <v>-29.664429530201343</v>
      </c>
      <c r="AH36" s="24">
        <v>-35.302013422818789</v>
      </c>
      <c r="AI36" s="24">
        <v>-20.134228187919462</v>
      </c>
      <c r="AJ36" s="24">
        <v>34.899328859060404</v>
      </c>
      <c r="AK36" s="60">
        <f>SUM(AG36:AJ36)</f>
        <v>-50.201342281879192</v>
      </c>
      <c r="AL36" s="24"/>
      <c r="AM36" s="24">
        <v>-80.909868924823215</v>
      </c>
      <c r="AN36" s="24">
        <v>-7.651006711409396</v>
      </c>
      <c r="AO36" s="24">
        <v>29.617584793477771</v>
      </c>
      <c r="AP36" s="24">
        <v>49.822080086482586</v>
      </c>
      <c r="AQ36" s="60">
        <f>SUM(AM36:AP36)</f>
        <v>-9.121210756272248</v>
      </c>
      <c r="AR36" s="24"/>
      <c r="AS36" s="24">
        <v>3.6241610738255035</v>
      </c>
      <c r="AT36" s="24">
        <v>8.8590604026845643</v>
      </c>
      <c r="AU36" s="24">
        <v>4.0268456375838921</v>
      </c>
      <c r="AV36" s="24">
        <v>134.09395973154363</v>
      </c>
      <c r="AW36" s="60">
        <f>SUM(AS36:AV36)</f>
        <v>150.60402684563761</v>
      </c>
      <c r="AX36" s="24"/>
      <c r="AY36" s="24">
        <v>-69.932885906040269</v>
      </c>
      <c r="AZ36" s="24">
        <v>-1.3422818791946309</v>
      </c>
      <c r="BA36" s="24">
        <v>47.785234899328856</v>
      </c>
      <c r="BB36" s="24">
        <v>96.644295302013418</v>
      </c>
      <c r="BC36" s="60">
        <f>SUM(AY36:BB36)</f>
        <v>73.154362416107375</v>
      </c>
      <c r="BD36" s="24"/>
      <c r="BE36" s="24">
        <v>26.711409395973153</v>
      </c>
      <c r="BF36" s="24">
        <v>14.630872483221475</v>
      </c>
      <c r="BG36" s="24">
        <v>17.315436241610737</v>
      </c>
      <c r="BH36" s="24">
        <v>153.82550335570468</v>
      </c>
      <c r="BI36" s="60">
        <f>SUM(BE36:BH36)</f>
        <v>212.48322147651004</v>
      </c>
      <c r="BJ36" s="24"/>
      <c r="BK36" s="24">
        <v>12.751677852348992</v>
      </c>
      <c r="BL36" s="24">
        <v>5.3691275167785237</v>
      </c>
      <c r="BM36" s="24">
        <v>35.70469798657718</v>
      </c>
      <c r="BN36" s="24">
        <v>119.4</v>
      </c>
      <c r="BO36" s="60">
        <f>SUM(BK36:BN36)</f>
        <v>173.22550335570469</v>
      </c>
      <c r="BP36" s="24"/>
      <c r="BQ36" s="24">
        <f>+Cashflow!BQ11</f>
        <v>-9.0990000000000038</v>
      </c>
      <c r="BR36" s="24">
        <f>+Cashflow!BR11</f>
        <v>28.7</v>
      </c>
      <c r="BS36" s="24">
        <v>48.1</v>
      </c>
      <c r="BT36" s="24">
        <v>86.2</v>
      </c>
      <c r="BU36" s="60">
        <f>SUM(BQ36:BT36)</f>
        <v>153.90100000000001</v>
      </c>
      <c r="BV36" s="24"/>
      <c r="BW36" s="24">
        <f>+Cashflow!BW11</f>
        <v>-38.4</v>
      </c>
      <c r="BX36" s="24">
        <f>+Cashflow!BX11</f>
        <v>16.800000000000004</v>
      </c>
      <c r="BY36" s="24">
        <f>+Cashflow!BY11</f>
        <v>46.7</v>
      </c>
      <c r="BZ36" s="24">
        <f>+Cashflow!BZ11</f>
        <v>62.699999999999974</v>
      </c>
      <c r="CA36" s="60">
        <f>SUM(BW36:BZ36)</f>
        <v>87.799999999999983</v>
      </c>
      <c r="CC36" s="24">
        <f>+Cashflow!CC11</f>
        <v>-131.80000000000001</v>
      </c>
      <c r="CD36" s="24">
        <v>36.4</v>
      </c>
      <c r="CE36" s="24">
        <f>+Cashflow!CE11</f>
        <v>-34.799999999999997</v>
      </c>
      <c r="CF36" s="24">
        <f>130.2-42.2</f>
        <v>87.999999999999986</v>
      </c>
      <c r="CG36" s="60">
        <f>SUM(CC36:CF36)</f>
        <v>-42.2</v>
      </c>
      <c r="CI36" s="24">
        <f>+Cashflow!CI11</f>
        <v>-54.599999999999994</v>
      </c>
      <c r="CJ36" s="24">
        <f>+Cashflow!CJ11</f>
        <v>23.1</v>
      </c>
      <c r="CK36" s="24">
        <v>11</v>
      </c>
      <c r="CL36" s="24">
        <v>145.5</v>
      </c>
      <c r="CM36" s="60">
        <f>SUM(CI36:CL36)</f>
        <v>125</v>
      </c>
      <c r="CN36" s="151"/>
      <c r="CO36" s="24">
        <f>+Cashflow!CO11</f>
        <v>-121.49999999999999</v>
      </c>
      <c r="CP36" s="24">
        <f>+Cashflow!CP11</f>
        <v>-11.799999999999997</v>
      </c>
      <c r="CQ36" s="24">
        <f>+Cashflow!CQ11</f>
        <v>158.70000000000002</v>
      </c>
      <c r="CR36" s="24">
        <f>+Cashflow!CR11</f>
        <v>110.9</v>
      </c>
      <c r="CS36" s="60">
        <f>SUM(CO36:CR36)</f>
        <v>136.30000000000004</v>
      </c>
      <c r="CU36" s="24">
        <v>-22.3</v>
      </c>
      <c r="CV36" s="24">
        <f>+Cashflow!CV11</f>
        <v>-99.6</v>
      </c>
      <c r="CW36" s="24">
        <f>+Cashflow!CW11</f>
        <v>145.80000000000001</v>
      </c>
      <c r="CX36" s="24">
        <f>+Cashflow!CX11</f>
        <v>183.9</v>
      </c>
      <c r="CY36" s="60">
        <f>SUM(CU36:CX36)</f>
        <v>207.8</v>
      </c>
      <c r="DA36" s="24">
        <f>+Cashflow!DA11</f>
        <v>-40.900000000000006</v>
      </c>
      <c r="DB36" s="24">
        <f>+Cashflow!DB11</f>
        <v>137</v>
      </c>
      <c r="DC36" s="24">
        <f>+Cashflow!DC11</f>
        <v>-0.39999999999999858</v>
      </c>
      <c r="DD36" s="24">
        <v>202.5</v>
      </c>
      <c r="DE36" s="60">
        <f>SUM(DA36:DD36)</f>
        <v>298.2</v>
      </c>
      <c r="DG36" s="24">
        <f>+Cashflow!DG11</f>
        <v>-65.200000000000017</v>
      </c>
      <c r="DH36" s="24">
        <f>+Cashflow!DH11</f>
        <v>321.09999999999997</v>
      </c>
      <c r="DI36" s="24">
        <f>+Cashflow!DI11</f>
        <v>146.69999999999999</v>
      </c>
      <c r="DJ36" s="24">
        <f>+Cashflow!DJ11</f>
        <v>139.80000000000004</v>
      </c>
      <c r="DK36" s="60">
        <f>+Cashflow!DK11</f>
        <v>542.4</v>
      </c>
      <c r="DM36" s="4">
        <f>+Cashflow!DM11</f>
        <v>48</v>
      </c>
      <c r="DN36" s="4">
        <f>+Cashflow!DN11</f>
        <v>642</v>
      </c>
      <c r="DO36" s="4">
        <v>-19</v>
      </c>
      <c r="DP36" s="4">
        <f>+Cashflow!DP11</f>
        <v>368</v>
      </c>
      <c r="DQ36" s="29">
        <f>+SUM(DM36:DP36)</f>
        <v>1039</v>
      </c>
      <c r="DS36" s="4">
        <f>+Cashflow!DS11</f>
        <v>-141</v>
      </c>
      <c r="DT36" s="4">
        <f>+Cashflow!DT11</f>
        <v>-1</v>
      </c>
      <c r="DU36" s="4">
        <f>+Cashflow!DU11</f>
        <v>68</v>
      </c>
      <c r="DV36" s="4"/>
      <c r="DW36" s="29">
        <f>+SUM(DS36:DV36)</f>
        <v>-74</v>
      </c>
    </row>
    <row r="37" spans="1:127" x14ac:dyDescent="0.2">
      <c r="A37" s="2" t="s">
        <v>55</v>
      </c>
      <c r="C37" s="24">
        <v>-3.7583892617449663</v>
      </c>
      <c r="D37" s="24">
        <v>-2.0134228187919461</v>
      </c>
      <c r="E37" s="24">
        <v>-7.5167785234899327</v>
      </c>
      <c r="F37" s="24">
        <v>-0.80536912751677847</v>
      </c>
      <c r="G37" s="60">
        <f>SUM(C37:F37)</f>
        <v>-14.093959731543624</v>
      </c>
      <c r="H37" s="24"/>
      <c r="I37" s="24">
        <v>-8.9932885906040259</v>
      </c>
      <c r="J37" s="24">
        <v>23.624161073825501</v>
      </c>
      <c r="K37" s="24">
        <v>-6.174496644295302</v>
      </c>
      <c r="L37" s="24">
        <v>-12.348993288590604</v>
      </c>
      <c r="M37" s="60">
        <f>SUM(I37:L37)</f>
        <v>-3.8926174496644297</v>
      </c>
      <c r="N37" s="24"/>
      <c r="O37" s="24">
        <v>-11.946308724832214</v>
      </c>
      <c r="P37" s="24">
        <v>-11.409395973154362</v>
      </c>
      <c r="Q37" s="24">
        <v>-11.275167785234899</v>
      </c>
      <c r="R37" s="24">
        <v>-17.583892617449663</v>
      </c>
      <c r="S37" s="60">
        <f>SUM(O37:R37)</f>
        <v>-52.214765100671137</v>
      </c>
      <c r="T37" s="24"/>
      <c r="U37" s="24">
        <v>25.100671140939596</v>
      </c>
      <c r="V37" s="24">
        <v>-20.671140939597315</v>
      </c>
      <c r="W37" s="24">
        <v>-22.68456375838926</v>
      </c>
      <c r="X37" s="24">
        <v>-40.805369127516776</v>
      </c>
      <c r="Y37" s="60">
        <f>SUM(U37:X37)</f>
        <v>-59.060402684563755</v>
      </c>
      <c r="Z37" s="24"/>
      <c r="AA37" s="24">
        <v>-22.281879194630871</v>
      </c>
      <c r="AB37" s="24">
        <v>-34.228187919463089</v>
      </c>
      <c r="AC37" s="24">
        <v>-33.154362416107382</v>
      </c>
      <c r="AD37" s="24">
        <v>-26.845637583892618</v>
      </c>
      <c r="AE37" s="60">
        <f>SUM(AA37:AD37)</f>
        <v>-116.51006711409397</v>
      </c>
      <c r="AF37" s="24"/>
      <c r="AG37" s="24">
        <v>-39.597315436241608</v>
      </c>
      <c r="AH37" s="24">
        <f>(-159+6)/7.45</f>
        <v>-20.536912751677853</v>
      </c>
      <c r="AI37" s="24">
        <v>-17.583892617449663</v>
      </c>
      <c r="AJ37" s="24">
        <v>-19.328859060402685</v>
      </c>
      <c r="AK37" s="60">
        <f>SUM(AG37:AJ37)</f>
        <v>-97.046979865771817</v>
      </c>
      <c r="AL37" s="24"/>
      <c r="AM37" s="24">
        <v>-12.483221476510067</v>
      </c>
      <c r="AN37" s="24">
        <v>-14.630872483221475</v>
      </c>
      <c r="AO37" s="24">
        <v>-13.422818791946309</v>
      </c>
      <c r="AP37" s="24">
        <v>-16.778523489932887</v>
      </c>
      <c r="AQ37" s="60">
        <f>SUM(AM37:AP37)</f>
        <v>-57.315436241610733</v>
      </c>
      <c r="AR37" s="24"/>
      <c r="AS37" s="24">
        <v>-11.812080536912751</v>
      </c>
      <c r="AT37" s="24">
        <v>-8.9932885906040259</v>
      </c>
      <c r="AU37" s="24">
        <v>-7.1140939597315436</v>
      </c>
      <c r="AV37" s="24">
        <v>-14.630872483221475</v>
      </c>
      <c r="AW37" s="60">
        <f>SUM(AS37:AV37)</f>
        <v>-42.550335570469798</v>
      </c>
      <c r="AX37" s="24"/>
      <c r="AY37" s="24">
        <v>-8.0536912751677843</v>
      </c>
      <c r="AZ37" s="24">
        <v>-7.1140939597315436</v>
      </c>
      <c r="BA37" s="24">
        <v>-6.9798657718120802</v>
      </c>
      <c r="BB37" s="24">
        <v>-10.604026845637584</v>
      </c>
      <c r="BC37" s="60">
        <f>SUM(AY37:BB37)</f>
        <v>-32.75167785234899</v>
      </c>
      <c r="BD37" s="24"/>
      <c r="BE37" s="24">
        <v>-6.7114093959731544</v>
      </c>
      <c r="BF37" s="24">
        <v>-6.5771812080536911</v>
      </c>
      <c r="BG37" s="24">
        <v>-9.3959731543624159</v>
      </c>
      <c r="BH37" s="24">
        <v>-8.3221476510067109</v>
      </c>
      <c r="BI37" s="60">
        <f>SUM(BE37:BH37)</f>
        <v>-31.006711409395969</v>
      </c>
      <c r="BJ37" s="24"/>
      <c r="BK37" s="24">
        <v>-5.1006711409395971</v>
      </c>
      <c r="BL37" s="24">
        <v>-7.3825503355704694</v>
      </c>
      <c r="BM37" s="24">
        <v>-6.8456375838926169</v>
      </c>
      <c r="BN37" s="24">
        <v>-15.8</v>
      </c>
      <c r="BO37" s="60">
        <f>SUM(BK37:BN37)</f>
        <v>-35.128859060402689</v>
      </c>
      <c r="BP37" s="24"/>
      <c r="BQ37" s="24">
        <f>+Cashflow!BQ15</f>
        <v>-10.3</v>
      </c>
      <c r="BR37" s="24">
        <f>+Cashflow!BR15</f>
        <v>-6.6</v>
      </c>
      <c r="BS37" s="24">
        <v>-8.9</v>
      </c>
      <c r="BT37" s="24">
        <f>-37.2+25.8</f>
        <v>-11.400000000000002</v>
      </c>
      <c r="BU37" s="60">
        <f>SUM(BQ37:BT37)</f>
        <v>-37.200000000000003</v>
      </c>
      <c r="BV37" s="24"/>
      <c r="BW37" s="24">
        <f>+Cashflow!BW15</f>
        <v>-13.1</v>
      </c>
      <c r="BX37" s="24">
        <f>+Cashflow!BX15</f>
        <v>-14.4</v>
      </c>
      <c r="BY37" s="24">
        <f>+Cashflow!BY15</f>
        <v>-8.9</v>
      </c>
      <c r="BZ37" s="24">
        <f>+Cashflow!BZ15</f>
        <v>-14.000000000000004</v>
      </c>
      <c r="CA37" s="60">
        <f>SUM(BW37:BZ37)</f>
        <v>-50.400000000000006</v>
      </c>
      <c r="CC37" s="24">
        <f>+Cashflow!CC15</f>
        <v>-4.9000000000000004</v>
      </c>
      <c r="CD37" s="24">
        <v>-4.9000000000000004</v>
      </c>
      <c r="CE37" s="24">
        <f>+Cashflow!CE15</f>
        <v>-6.3</v>
      </c>
      <c r="CF37" s="24">
        <f>16.1-27.3</f>
        <v>-11.2</v>
      </c>
      <c r="CG37" s="60">
        <f>SUM(CC37:CF37)</f>
        <v>-27.3</v>
      </c>
      <c r="CI37" s="24">
        <f>+Cashflow!CI15</f>
        <v>-4.1999999999999993</v>
      </c>
      <c r="CJ37" s="24">
        <f>+Cashflow!CJ15</f>
        <v>-10.299999999999999</v>
      </c>
      <c r="CK37" s="24">
        <f>-7.9+0.4</f>
        <v>-7.5</v>
      </c>
      <c r="CL37" s="24">
        <v>-11.2</v>
      </c>
      <c r="CM37" s="60">
        <f>SUM(CI37:CL37)</f>
        <v>-33.200000000000003</v>
      </c>
      <c r="CN37" s="151"/>
      <c r="CO37" s="24">
        <f>+Cashflow!CO15</f>
        <v>-5.5</v>
      </c>
      <c r="CP37" s="24">
        <f>+Cashflow!CP15</f>
        <v>-9.4</v>
      </c>
      <c r="CQ37" s="24">
        <f>+Cashflow!CQ15</f>
        <v>-9.1</v>
      </c>
      <c r="CR37" s="24">
        <f>+Cashflow!CR15</f>
        <v>-41.1</v>
      </c>
      <c r="CS37" s="60">
        <f>SUM(CO37:CR37)</f>
        <v>-65.099999999999994</v>
      </c>
      <c r="CU37" s="24">
        <v>-22.9</v>
      </c>
      <c r="CV37" s="24">
        <f>+Cashflow!CV15</f>
        <v>-47.7</v>
      </c>
      <c r="CW37" s="24">
        <f>+Cashflow!CW15</f>
        <v>-38.1</v>
      </c>
      <c r="CX37" s="24">
        <f>+Cashflow!CX15</f>
        <v>-82.4</v>
      </c>
      <c r="CY37" s="60">
        <f>SUM(CU37:CX37)</f>
        <v>-191.1</v>
      </c>
      <c r="DA37" s="24">
        <f>+Cashflow!DA15</f>
        <v>-31.1</v>
      </c>
      <c r="DB37" s="24">
        <f>+Cashflow!DB15</f>
        <v>-42.1</v>
      </c>
      <c r="DC37" s="24">
        <f>+Cashflow!DC15</f>
        <v>-33.1</v>
      </c>
      <c r="DD37" s="24">
        <v>-47.8</v>
      </c>
      <c r="DE37" s="60">
        <f>SUM(DA37:DD37)</f>
        <v>-154.10000000000002</v>
      </c>
      <c r="DG37" s="24">
        <f>+Cashflow!DG15</f>
        <v>-23</v>
      </c>
      <c r="DH37" s="24">
        <f>+Cashflow!DH15</f>
        <v>-22.3</v>
      </c>
      <c r="DI37" s="24">
        <f>+Cashflow!DI15</f>
        <v>-52.3</v>
      </c>
      <c r="DJ37" s="24">
        <f>+Cashflow!DJ15</f>
        <v>-106.9</v>
      </c>
      <c r="DK37" s="60">
        <f>+DG37+DH37+DI37+DJ37</f>
        <v>-204.5</v>
      </c>
      <c r="DM37" s="4">
        <f>+Cashflow!DM15</f>
        <v>-58</v>
      </c>
      <c r="DN37" s="4">
        <f>+Cashflow!DN15</f>
        <v>-95</v>
      </c>
      <c r="DO37" s="4">
        <f>+Cashflow!DO15</f>
        <v>-109</v>
      </c>
      <c r="DP37" s="4">
        <f>+Cashflow!DP15</f>
        <v>-201</v>
      </c>
      <c r="DQ37" s="29">
        <f>+SUM(DM37:DP37)</f>
        <v>-463</v>
      </c>
      <c r="DS37" s="4">
        <f>+Cashflow!DS15</f>
        <v>-158</v>
      </c>
      <c r="DT37" s="4">
        <f>+Cashflow!DT15</f>
        <v>-161</v>
      </c>
      <c r="DU37" s="4">
        <f>+Cashflow!DU15</f>
        <v>-156</v>
      </c>
      <c r="DV37" s="4"/>
      <c r="DW37" s="29">
        <f>+SUM(DS37:DV37)</f>
        <v>-475</v>
      </c>
    </row>
    <row r="38" spans="1:127" x14ac:dyDescent="0.2">
      <c r="G38" s="28"/>
      <c r="M38" s="28"/>
      <c r="S38" s="28"/>
      <c r="Y38" s="28"/>
      <c r="AE38" s="28"/>
      <c r="AK38" s="28"/>
      <c r="AQ38" s="28"/>
      <c r="AW38" s="28"/>
      <c r="BC38" s="28"/>
      <c r="BI38" s="28"/>
      <c r="BO38" s="28"/>
      <c r="BU38" s="28"/>
      <c r="CA38" s="28"/>
      <c r="CG38" s="28"/>
      <c r="CM38" s="28"/>
      <c r="CS38" s="28"/>
      <c r="CY38" s="28"/>
      <c r="DE38" s="28"/>
      <c r="DK38" s="28"/>
      <c r="DN38" s="4"/>
      <c r="DO38" s="4"/>
      <c r="DP38" s="4"/>
      <c r="DQ38" s="28"/>
      <c r="DT38" s="4"/>
      <c r="DU38" s="4"/>
      <c r="DV38" s="4"/>
      <c r="DW38" s="28"/>
    </row>
    <row r="39" spans="1:127" s="35" customFormat="1" x14ac:dyDescent="0.2">
      <c r="A39" s="34" t="s">
        <v>15</v>
      </c>
      <c r="C39" s="39"/>
      <c r="D39" s="39"/>
      <c r="E39" s="39"/>
      <c r="F39" s="39"/>
      <c r="G39" s="40"/>
      <c r="I39" s="39"/>
      <c r="J39" s="39"/>
      <c r="K39" s="39"/>
      <c r="L39" s="39"/>
      <c r="M39" s="40"/>
      <c r="O39" s="39"/>
      <c r="P39" s="39"/>
      <c r="Q39" s="39"/>
      <c r="R39" s="39"/>
      <c r="S39" s="40"/>
      <c r="U39" s="39"/>
      <c r="V39" s="39"/>
      <c r="W39" s="39"/>
      <c r="X39" s="39"/>
      <c r="Y39" s="40"/>
      <c r="AA39" s="39"/>
      <c r="AB39" s="39"/>
      <c r="AC39" s="39"/>
      <c r="AD39" s="39"/>
      <c r="AE39" s="40"/>
      <c r="AG39" s="39"/>
      <c r="AH39" s="39"/>
      <c r="AI39" s="39"/>
      <c r="AJ39" s="39"/>
      <c r="AK39" s="40"/>
      <c r="AM39" s="39"/>
      <c r="AN39" s="39"/>
      <c r="AO39" s="39"/>
      <c r="AP39" s="39"/>
      <c r="AQ39" s="40"/>
      <c r="AS39" s="39"/>
      <c r="AT39" s="39"/>
      <c r="AU39" s="39"/>
      <c r="AV39" s="39"/>
      <c r="AW39" s="40"/>
      <c r="AY39" s="39"/>
      <c r="AZ39" s="39"/>
      <c r="BA39" s="39"/>
      <c r="BB39" s="39"/>
      <c r="BC39" s="40"/>
      <c r="BE39" s="39"/>
      <c r="BF39" s="39"/>
      <c r="BG39" s="39"/>
      <c r="BH39" s="39"/>
      <c r="BI39" s="40"/>
      <c r="BK39" s="39"/>
      <c r="BL39" s="39"/>
      <c r="BM39" s="39"/>
      <c r="BN39" s="39"/>
      <c r="BO39" s="40"/>
      <c r="BQ39" s="39"/>
      <c r="BR39" s="39"/>
      <c r="BS39" s="39"/>
      <c r="BT39" s="39"/>
      <c r="BU39" s="40"/>
      <c r="BW39" s="39"/>
      <c r="BX39" s="39"/>
      <c r="BY39" s="39"/>
      <c r="BZ39" s="39"/>
      <c r="CA39" s="40"/>
      <c r="CC39" s="39"/>
      <c r="CD39" s="39"/>
      <c r="CE39" s="39"/>
      <c r="CF39" s="39"/>
      <c r="CG39" s="40"/>
      <c r="CI39" s="39"/>
      <c r="CJ39" s="39"/>
      <c r="CK39" s="39"/>
      <c r="CL39" s="39"/>
      <c r="CM39" s="40"/>
      <c r="CO39" s="39"/>
      <c r="CP39" s="39"/>
      <c r="CQ39" s="39"/>
      <c r="CR39" s="39"/>
      <c r="CS39" s="40"/>
      <c r="CU39" s="39"/>
      <c r="CV39" s="39"/>
      <c r="CW39" s="39"/>
      <c r="CX39" s="39"/>
      <c r="CY39" s="40"/>
      <c r="DA39" s="39"/>
      <c r="DB39" s="39"/>
      <c r="DC39" s="39"/>
      <c r="DD39" s="39"/>
      <c r="DE39" s="40"/>
      <c r="DG39" s="39"/>
      <c r="DH39" s="39"/>
      <c r="DI39" s="39"/>
      <c r="DJ39" s="39"/>
      <c r="DK39" s="40"/>
      <c r="DM39" s="39"/>
      <c r="DN39" s="254"/>
      <c r="DO39" s="39"/>
      <c r="DP39" s="39"/>
      <c r="DQ39" s="40"/>
      <c r="DS39" s="39"/>
      <c r="DT39" s="254"/>
      <c r="DU39" s="39"/>
      <c r="DV39" s="39"/>
      <c r="DW39" s="40"/>
    </row>
    <row r="40" spans="1:127" ht="4.5" customHeight="1" x14ac:dyDescent="0.2">
      <c r="G40" s="28"/>
      <c r="M40" s="28"/>
      <c r="S40" s="28"/>
      <c r="Y40" s="28"/>
      <c r="AE40" s="28"/>
      <c r="AK40" s="28"/>
      <c r="AQ40" s="28"/>
      <c r="AW40" s="28"/>
      <c r="BC40" s="28"/>
      <c r="BI40" s="28"/>
      <c r="BO40" s="28"/>
      <c r="BU40" s="28"/>
      <c r="CA40" s="28"/>
      <c r="CG40" s="28"/>
      <c r="CM40" s="28"/>
      <c r="CS40" s="28"/>
      <c r="CY40" s="28"/>
      <c r="DE40" s="28"/>
      <c r="DK40" s="28"/>
      <c r="DN40" s="4"/>
      <c r="DQ40" s="28"/>
      <c r="DT40" s="4"/>
      <c r="DW40" s="28"/>
    </row>
    <row r="41" spans="1:127" ht="12.75" customHeight="1" x14ac:dyDescent="0.2">
      <c r="A41" s="2" t="s">
        <v>16</v>
      </c>
      <c r="C41" s="6">
        <v>0.47</v>
      </c>
      <c r="D41" s="6">
        <v>0.46</v>
      </c>
      <c r="E41" s="6">
        <v>0.43</v>
      </c>
      <c r="F41" s="6">
        <v>0.44</v>
      </c>
      <c r="G41" s="30"/>
      <c r="I41" s="6">
        <v>0.43</v>
      </c>
      <c r="J41" s="6">
        <v>0.38</v>
      </c>
      <c r="K41" s="6">
        <v>0.39</v>
      </c>
      <c r="L41" s="6">
        <v>0.38</v>
      </c>
      <c r="M41" s="30"/>
      <c r="O41" s="6">
        <v>0.36</v>
      </c>
      <c r="P41" s="6">
        <v>0.33</v>
      </c>
      <c r="Q41" s="6">
        <v>0.33</v>
      </c>
      <c r="R41" s="6">
        <v>0.36</v>
      </c>
      <c r="S41" s="30" t="s">
        <v>47</v>
      </c>
      <c r="U41" s="6">
        <v>0.35</v>
      </c>
      <c r="V41" s="6">
        <v>0.33</v>
      </c>
      <c r="W41" s="6">
        <v>0.35</v>
      </c>
      <c r="X41" s="6">
        <v>0.35</v>
      </c>
      <c r="Y41" s="30" t="s">
        <v>47</v>
      </c>
      <c r="AA41" s="6">
        <v>0.36</v>
      </c>
      <c r="AB41" s="7">
        <v>0.36</v>
      </c>
      <c r="AC41" s="8">
        <v>0.35</v>
      </c>
      <c r="AD41" s="8">
        <v>0.37</v>
      </c>
      <c r="AE41" s="30" t="s">
        <v>47</v>
      </c>
      <c r="AG41" s="6">
        <v>0.34</v>
      </c>
      <c r="AH41" s="8">
        <v>0.33</v>
      </c>
      <c r="AI41" s="8">
        <v>0.32</v>
      </c>
      <c r="AJ41" s="8">
        <v>0.33</v>
      </c>
      <c r="AK41" s="33"/>
      <c r="AM41" s="6">
        <v>0.28999999999999998</v>
      </c>
      <c r="AN41" s="6">
        <v>0.28999999999999998</v>
      </c>
      <c r="AO41" s="8">
        <v>0.28999999999999998</v>
      </c>
      <c r="AP41" s="8">
        <v>0.3</v>
      </c>
      <c r="AQ41" s="33"/>
      <c r="AS41" s="6">
        <v>0.3</v>
      </c>
      <c r="AT41" s="6">
        <v>0.41</v>
      </c>
      <c r="AU41" s="6">
        <v>0.43</v>
      </c>
      <c r="AV41" s="8">
        <v>0.44</v>
      </c>
      <c r="AW41" s="33"/>
      <c r="AY41" s="6">
        <v>0.41</v>
      </c>
      <c r="AZ41" s="6">
        <v>0.42</v>
      </c>
      <c r="BA41" s="6">
        <v>0.41</v>
      </c>
      <c r="BB41" s="8">
        <v>0.44</v>
      </c>
      <c r="BC41" s="33"/>
      <c r="BE41" s="6">
        <v>0.43</v>
      </c>
      <c r="BF41" s="6">
        <v>0.44</v>
      </c>
      <c r="BG41" s="6">
        <v>0.44</v>
      </c>
      <c r="BH41" s="8">
        <v>0.48</v>
      </c>
      <c r="BI41" s="33"/>
      <c r="BK41" s="6">
        <v>0.46</v>
      </c>
      <c r="BL41" s="6">
        <v>0.43</v>
      </c>
      <c r="BM41" s="6">
        <v>0.46</v>
      </c>
      <c r="BN41" s="6">
        <v>0.48</v>
      </c>
      <c r="BO41" s="33"/>
      <c r="BQ41" s="6">
        <f>+BQ28/BQ30</f>
        <v>0.46193273439299698</v>
      </c>
      <c r="BR41" s="6">
        <f>+BR28/BR30</f>
        <v>0.44857878245299909</v>
      </c>
      <c r="BS41" s="6">
        <f>+BS28/BS30</f>
        <v>0.43977785491148913</v>
      </c>
      <c r="BT41" s="6">
        <v>0.54</v>
      </c>
      <c r="BU41" s="33"/>
      <c r="BW41" s="6">
        <f>+BW28/BW30</f>
        <v>0.36217566358484937</v>
      </c>
      <c r="BX41" s="6">
        <f>+BX28/BX30</f>
        <v>0.34966180135279462</v>
      </c>
      <c r="BY41" s="6">
        <f>+BY28/BY30</f>
        <v>0.35659666128163703</v>
      </c>
      <c r="BZ41" s="6">
        <f>+BZ28/BZ30</f>
        <v>0.42859393048409111</v>
      </c>
      <c r="CA41" s="33"/>
      <c r="CC41" s="6">
        <f>+CC28/CC30</f>
        <v>0.40290126345343935</v>
      </c>
      <c r="CD41" s="6">
        <f>+CD28/CD30</f>
        <v>0.39825581395348836</v>
      </c>
      <c r="CE41" s="6">
        <f>+(CE28+CE29)/CE30</f>
        <v>0.47703818369453044</v>
      </c>
      <c r="CF41" s="6">
        <f>+(CF28+CF29)/CF30</f>
        <v>0.48171256454388978</v>
      </c>
      <c r="CG41" s="33"/>
      <c r="CI41" s="6">
        <f>+(CI28+CI29)/CI30</f>
        <v>0.46482492772245421</v>
      </c>
      <c r="CJ41" s="6">
        <f>+(CJ28+CJ29)/CJ30</f>
        <v>0.44522390421435737</v>
      </c>
      <c r="CK41" s="6">
        <f>+(CK28+CK29)/CK30</f>
        <v>0.42745056459735992</v>
      </c>
      <c r="CL41" s="6">
        <f>+(CL28+CL29)/CL30</f>
        <v>0.44920084944674188</v>
      </c>
      <c r="CM41" s="33"/>
      <c r="CO41" s="6">
        <f>+(CO28+CO29)/CO30</f>
        <v>0.40310725025058475</v>
      </c>
      <c r="CP41" s="6">
        <f>+(CP28+CP29)/CP30</f>
        <v>0.45335997476075296</v>
      </c>
      <c r="CQ41" s="6">
        <f>+(CQ28+CQ29)/CQ30</f>
        <v>0.42261403595661434</v>
      </c>
      <c r="CR41" s="6">
        <f>+(CR28+CR29)/CR30</f>
        <v>0.50051148516693023</v>
      </c>
      <c r="CS41" s="33"/>
      <c r="CU41" s="6">
        <f>+(CU28+CU29)/CU30</f>
        <v>0.49396570919617011</v>
      </c>
      <c r="CV41" s="6">
        <f>+(CV28+CV29)/CV30</f>
        <v>0.48316008316008319</v>
      </c>
      <c r="CW41" s="6">
        <f>+(CW28+CW29)/CW30</f>
        <v>0.47111092570188978</v>
      </c>
      <c r="CX41" s="6">
        <f>+(CX28+CX29)/CX30</f>
        <v>0.45425706900603119</v>
      </c>
      <c r="CY41" s="33"/>
      <c r="DA41" s="6">
        <f>+(DA28+DA29)/DA30</f>
        <v>0.45417195786957493</v>
      </c>
      <c r="DB41" s="6">
        <f>+(DB28+DB29)/DB30</f>
        <v>0.41900993112895252</v>
      </c>
      <c r="DC41" s="6">
        <f>+(DC28+DC29)/DC30</f>
        <v>0.41666345820659917</v>
      </c>
      <c r="DD41" s="6">
        <f>+(DD28+DD29)/DD30</f>
        <v>0.41331213413312129</v>
      </c>
      <c r="DE41" s="33"/>
      <c r="DG41" s="6">
        <f>+(DG28+DG29)/DG30</f>
        <v>0.38125872950218148</v>
      </c>
      <c r="DH41" s="6">
        <f>+(DH28+DH29)/DH30</f>
        <v>0.32311279281535499</v>
      </c>
      <c r="DI41" s="6">
        <f>+(DI28+DI29)/DI30</f>
        <v>0.38647210217786843</v>
      </c>
      <c r="DJ41" s="6">
        <f>+(DJ28+DJ29)/DJ30</f>
        <v>0.39697558268590455</v>
      </c>
      <c r="DK41" s="33"/>
      <c r="DM41" s="6">
        <f>+(DM28+DM29)/DM30</f>
        <v>0.39196115457243053</v>
      </c>
      <c r="DN41" s="6">
        <v>0.4</v>
      </c>
      <c r="DO41" s="6">
        <v>0.42</v>
      </c>
      <c r="DP41" s="6">
        <v>0.38</v>
      </c>
      <c r="DQ41" s="33">
        <f t="shared" ref="DQ41:DQ47" si="10">+DP41</f>
        <v>0.38</v>
      </c>
      <c r="DS41" s="6">
        <f>+(DS28+DS29+DS27)/DS30</f>
        <v>0.4028397565922921</v>
      </c>
      <c r="DT41" s="6">
        <f>+(DT28+DT29+DT27)/DT30</f>
        <v>0.39550425273390039</v>
      </c>
      <c r="DU41" s="6">
        <v>0.41</v>
      </c>
      <c r="DV41" s="6"/>
      <c r="DW41" s="33">
        <f>+DU41</f>
        <v>0.41</v>
      </c>
    </row>
    <row r="42" spans="1:127" ht="12.75" customHeight="1" x14ac:dyDescent="0.2">
      <c r="A42" s="2" t="s">
        <v>99</v>
      </c>
      <c r="C42" s="2">
        <v>24500</v>
      </c>
      <c r="D42" s="2">
        <v>24500</v>
      </c>
      <c r="E42" s="2">
        <v>24500</v>
      </c>
      <c r="F42" s="2">
        <v>24500</v>
      </c>
      <c r="G42" s="28"/>
      <c r="I42" s="2">
        <v>24500</v>
      </c>
      <c r="J42" s="2">
        <v>23500</v>
      </c>
      <c r="K42" s="2">
        <v>23500</v>
      </c>
      <c r="L42" s="2">
        <v>23500</v>
      </c>
      <c r="M42" s="28"/>
      <c r="O42" s="9">
        <v>23561</v>
      </c>
      <c r="P42" s="9">
        <v>23638</v>
      </c>
      <c r="Q42" s="9">
        <v>23638</v>
      </c>
      <c r="R42" s="9">
        <v>23638</v>
      </c>
      <c r="S42" s="28"/>
      <c r="U42" s="9">
        <v>23655</v>
      </c>
      <c r="V42" s="9">
        <v>23718</v>
      </c>
      <c r="W42" s="9">
        <v>23718</v>
      </c>
      <c r="X42" s="9">
        <v>23718</v>
      </c>
      <c r="Y42" s="28"/>
      <c r="AA42" s="9">
        <v>23718</v>
      </c>
      <c r="AB42" s="10">
        <v>23718</v>
      </c>
      <c r="AC42" s="10">
        <v>23718</v>
      </c>
      <c r="AD42" s="10">
        <f>23718</f>
        <v>23718</v>
      </c>
      <c r="AE42" s="28"/>
      <c r="AG42" s="9">
        <v>23722</v>
      </c>
      <c r="AH42" s="9">
        <v>23738</v>
      </c>
      <c r="AI42" s="10">
        <v>23738</v>
      </c>
      <c r="AJ42" s="10">
        <v>23738</v>
      </c>
      <c r="AK42" s="28"/>
      <c r="AM42" s="9">
        <f>+'OLD Valuation 2005-2019'!AG5</f>
        <v>23737.978999999999</v>
      </c>
      <c r="AN42" s="9">
        <f>+'OLD Valuation 2005-2019'!AH5</f>
        <v>23737.978999999999</v>
      </c>
      <c r="AO42" s="9">
        <f>+'OLD Valuation 2005-2019'!AI5</f>
        <v>23737.978999999999</v>
      </c>
      <c r="AP42" s="9">
        <f>+'OLD Valuation 2005-2019'!AJ5</f>
        <v>23737.978999999999</v>
      </c>
      <c r="AQ42" s="28"/>
      <c r="AS42" s="9">
        <f>+'OLD Valuation 2005-2019'!AL5</f>
        <v>23888</v>
      </c>
      <c r="AT42" s="9">
        <v>23888</v>
      </c>
      <c r="AU42" s="9">
        <v>23888</v>
      </c>
      <c r="AV42" s="9">
        <v>23888</v>
      </c>
      <c r="AW42" s="28"/>
      <c r="AY42" s="9">
        <f>+'OLD Valuation 2005-2019'!AQ5</f>
        <v>23930</v>
      </c>
      <c r="AZ42" s="9">
        <f>+'OLD Valuation 2005-2019'!AR5</f>
        <v>23930</v>
      </c>
      <c r="BA42" s="9">
        <f>+'OLD Valuation 2005-2019'!AS5</f>
        <v>23930</v>
      </c>
      <c r="BB42" s="9">
        <f>+'OLD Valuation 2005-2019'!AT5</f>
        <v>23930</v>
      </c>
      <c r="BC42" s="28"/>
      <c r="BE42" s="9">
        <f>+'OLD Valuation 2005-2019'!AV5</f>
        <v>23934</v>
      </c>
      <c r="BF42" s="9">
        <f>+'OLD Valuation 2005-2019'!AW5</f>
        <v>23934</v>
      </c>
      <c r="BG42" s="9">
        <f>+'OLD Valuation 2005-2019'!AX5</f>
        <v>23934</v>
      </c>
      <c r="BH42" s="9">
        <f>+'OLD Valuation 2005-2019'!AY5</f>
        <v>23934</v>
      </c>
      <c r="BI42" s="28"/>
      <c r="BK42" s="9">
        <f>+'OLD Valuation 2005-2019'!BA5</f>
        <v>24186</v>
      </c>
      <c r="BL42" s="9">
        <f>+'OLD Valuation 2005-2019'!BB5</f>
        <v>24186</v>
      </c>
      <c r="BM42" s="9">
        <v>24186</v>
      </c>
      <c r="BN42" s="9">
        <v>24186</v>
      </c>
      <c r="BO42" s="28"/>
      <c r="BQ42" s="9">
        <v>24356</v>
      </c>
      <c r="BR42" s="9">
        <v>24356</v>
      </c>
      <c r="BS42" s="9">
        <v>24398</v>
      </c>
      <c r="BT42" s="9">
        <v>26835</v>
      </c>
      <c r="BU42" s="28"/>
      <c r="BW42" s="9">
        <v>27071</v>
      </c>
      <c r="BX42" s="9">
        <f>+'OLD Valuation 2005-2019'!BL5</f>
        <v>27112</v>
      </c>
      <c r="BY42" s="9">
        <v>27126</v>
      </c>
      <c r="BZ42" s="9">
        <v>27126</v>
      </c>
      <c r="CA42" s="28"/>
      <c r="CC42" s="9">
        <v>27126</v>
      </c>
      <c r="CD42" s="9">
        <v>27126</v>
      </c>
      <c r="CE42" s="9">
        <v>27126</v>
      </c>
      <c r="CF42" s="9">
        <v>27126</v>
      </c>
      <c r="CG42" s="28"/>
      <c r="CI42" s="9">
        <v>27126</v>
      </c>
      <c r="CJ42" s="9">
        <v>27126</v>
      </c>
      <c r="CK42" s="9">
        <v>27126</v>
      </c>
      <c r="CL42" s="9">
        <v>27260</v>
      </c>
      <c r="CM42" s="28"/>
      <c r="CO42" s="9">
        <v>27281</v>
      </c>
      <c r="CP42" s="9">
        <v>32232</v>
      </c>
      <c r="CQ42" s="9">
        <v>32232</v>
      </c>
      <c r="CR42" s="9">
        <v>42976</v>
      </c>
      <c r="CS42" s="28"/>
      <c r="CU42" s="9">
        <v>42976</v>
      </c>
      <c r="CV42" s="9">
        <v>42976</v>
      </c>
      <c r="CW42" s="9">
        <v>42976</v>
      </c>
      <c r="CX42" s="9">
        <v>42976</v>
      </c>
      <c r="CY42" s="28"/>
      <c r="DA42" s="4">
        <v>42976</v>
      </c>
      <c r="DB42" s="4">
        <v>42976</v>
      </c>
      <c r="DC42" s="4">
        <v>42976</v>
      </c>
      <c r="DD42" s="4">
        <v>42976</v>
      </c>
      <c r="DE42" s="29"/>
      <c r="DG42" s="4">
        <v>42976</v>
      </c>
      <c r="DH42" s="4">
        <v>42976</v>
      </c>
      <c r="DI42" s="4">
        <v>53720.044999999998</v>
      </c>
      <c r="DJ42" s="4">
        <v>53720</v>
      </c>
      <c r="DK42" s="29"/>
      <c r="DM42" s="4">
        <v>53720</v>
      </c>
      <c r="DN42" s="4">
        <v>53720</v>
      </c>
      <c r="DO42" s="4">
        <v>53720</v>
      </c>
      <c r="DP42" s="4">
        <v>53720</v>
      </c>
      <c r="DQ42" s="29">
        <f t="shared" si="10"/>
        <v>53720</v>
      </c>
      <c r="DS42" s="4">
        <v>53720</v>
      </c>
      <c r="DT42" s="4">
        <v>53720</v>
      </c>
      <c r="DU42" s="4">
        <v>53720</v>
      </c>
      <c r="DV42" s="4"/>
      <c r="DW42" s="29">
        <f>+DU42</f>
        <v>53720</v>
      </c>
    </row>
    <row r="43" spans="1:127" ht="12.75" customHeight="1" x14ac:dyDescent="0.2">
      <c r="A43" s="2" t="s">
        <v>134</v>
      </c>
      <c r="G43" s="28"/>
      <c r="M43" s="28"/>
      <c r="O43" s="9"/>
      <c r="P43" s="9"/>
      <c r="Q43" s="9"/>
      <c r="R43" s="9"/>
      <c r="S43" s="28"/>
      <c r="U43" s="9"/>
      <c r="V43" s="9"/>
      <c r="W43" s="9"/>
      <c r="X43" s="9"/>
      <c r="Y43" s="28"/>
      <c r="AA43" s="9"/>
      <c r="AB43" s="10"/>
      <c r="AC43" s="10"/>
      <c r="AD43" s="10"/>
      <c r="AE43" s="28"/>
      <c r="AG43" s="9"/>
      <c r="AH43" s="9"/>
      <c r="AI43" s="10"/>
      <c r="AJ43" s="10"/>
      <c r="AK43" s="28"/>
      <c r="AM43" s="9"/>
      <c r="AN43" s="9"/>
      <c r="AO43" s="9"/>
      <c r="AP43" s="9"/>
      <c r="AQ43" s="28"/>
      <c r="AS43" s="9"/>
      <c r="AT43" s="9"/>
      <c r="AU43" s="9"/>
      <c r="AV43" s="9"/>
      <c r="AW43" s="28"/>
      <c r="AY43" s="9"/>
      <c r="AZ43" s="9"/>
      <c r="BA43" s="9"/>
      <c r="BB43" s="9"/>
      <c r="BC43" s="28"/>
      <c r="BE43" s="9"/>
      <c r="BF43" s="9"/>
      <c r="BG43" s="9"/>
      <c r="BH43" s="9"/>
      <c r="BI43" s="28"/>
      <c r="BK43" s="9"/>
      <c r="BL43" s="9"/>
      <c r="BM43" s="9"/>
      <c r="BN43" s="9">
        <v>77</v>
      </c>
      <c r="BO43" s="28"/>
      <c r="BQ43" s="9">
        <v>176</v>
      </c>
      <c r="BR43" s="9">
        <v>589</v>
      </c>
      <c r="BS43" s="9">
        <v>948</v>
      </c>
      <c r="BT43" s="9">
        <v>0</v>
      </c>
      <c r="BU43" s="28"/>
      <c r="BW43" s="9">
        <v>0</v>
      </c>
      <c r="BX43" s="9">
        <f>+'OLD Valuation 2005-2019'!BL6</f>
        <v>0</v>
      </c>
      <c r="BY43" s="9">
        <v>0</v>
      </c>
      <c r="BZ43" s="9">
        <v>0</v>
      </c>
      <c r="CA43" s="28"/>
      <c r="CC43" s="9">
        <v>0</v>
      </c>
      <c r="CD43" s="9">
        <v>0</v>
      </c>
      <c r="CE43" s="9">
        <v>0</v>
      </c>
      <c r="CF43" s="9">
        <v>0</v>
      </c>
      <c r="CG43" s="28"/>
      <c r="CI43" s="9">
        <v>0</v>
      </c>
      <c r="CJ43" s="9">
        <v>0</v>
      </c>
      <c r="CK43" s="9">
        <v>0</v>
      </c>
      <c r="CL43" s="9">
        <v>0</v>
      </c>
      <c r="CM43" s="28"/>
      <c r="CO43" s="9">
        <v>0</v>
      </c>
      <c r="CP43" s="9">
        <v>0</v>
      </c>
      <c r="CQ43" s="9">
        <v>0</v>
      </c>
      <c r="CR43" s="9">
        <v>0</v>
      </c>
      <c r="CS43" s="28"/>
      <c r="CU43" s="9">
        <v>0</v>
      </c>
      <c r="CV43" s="9">
        <v>0</v>
      </c>
      <c r="CW43" s="9">
        <v>0</v>
      </c>
      <c r="CX43" s="9">
        <v>0</v>
      </c>
      <c r="CY43" s="28"/>
      <c r="DA43" s="4">
        <v>38</v>
      </c>
      <c r="DB43" s="4">
        <v>27</v>
      </c>
      <c r="DC43" s="4">
        <v>16</v>
      </c>
      <c r="DD43" s="4">
        <v>16</v>
      </c>
      <c r="DE43" s="261"/>
      <c r="DG43" s="4">
        <v>48</v>
      </c>
      <c r="DH43" s="4">
        <v>37</v>
      </c>
      <c r="DI43" s="4">
        <v>37</v>
      </c>
      <c r="DJ43" s="4">
        <v>87</v>
      </c>
      <c r="DK43" s="261"/>
      <c r="DM43" s="4">
        <v>20</v>
      </c>
      <c r="DN43" s="4">
        <v>20</v>
      </c>
      <c r="DO43" s="4">
        <v>20</v>
      </c>
      <c r="DP43" s="4">
        <v>51</v>
      </c>
      <c r="DQ43" s="261">
        <f t="shared" si="10"/>
        <v>51</v>
      </c>
      <c r="DS43" s="4">
        <v>3</v>
      </c>
      <c r="DT43" s="4">
        <v>270</v>
      </c>
      <c r="DU43" s="4">
        <v>270</v>
      </c>
      <c r="DV43" s="4"/>
      <c r="DW43" s="261">
        <f>+DU43</f>
        <v>270</v>
      </c>
    </row>
    <row r="44" spans="1:127" ht="12.75" customHeight="1" x14ac:dyDescent="0.2">
      <c r="A44" s="2" t="s">
        <v>102</v>
      </c>
      <c r="C44" s="11">
        <v>0.28187919463087246</v>
      </c>
      <c r="D44" s="11">
        <v>0.57718120805369122</v>
      </c>
      <c r="E44" s="11">
        <v>0.63087248322147649</v>
      </c>
      <c r="F44" s="11">
        <v>0.48322147651006714</v>
      </c>
      <c r="G44" s="31">
        <f>SUM(C44:F44)</f>
        <v>1.9731543624161072</v>
      </c>
      <c r="I44" s="11">
        <v>3.6</v>
      </c>
      <c r="J44" s="11">
        <v>9.4</v>
      </c>
      <c r="K44" s="11">
        <v>5.9</v>
      </c>
      <c r="L44" s="11">
        <v>6</v>
      </c>
      <c r="M44" s="31">
        <f>SUM(I44:L44)</f>
        <v>24.9</v>
      </c>
      <c r="O44" s="11">
        <v>0.68456375838926165</v>
      </c>
      <c r="P44" s="11">
        <v>1.2483221476510067</v>
      </c>
      <c r="Q44" s="11">
        <v>0.9261744966442953</v>
      </c>
      <c r="R44" s="11">
        <v>1.7315436241610738</v>
      </c>
      <c r="S44" s="31">
        <f>SUM(O44:R44)</f>
        <v>4.5906040268456376</v>
      </c>
      <c r="U44" s="11">
        <v>0.77852348993288589</v>
      </c>
      <c r="V44" s="11">
        <v>1.3154362416107384</v>
      </c>
      <c r="W44" s="11">
        <v>0.7516778523489932</v>
      </c>
      <c r="X44" s="11">
        <v>-0.56375838926174493</v>
      </c>
      <c r="Y44" s="31">
        <f>SUM(U44:X44)</f>
        <v>2.2818791946308723</v>
      </c>
      <c r="AA44" s="11">
        <v>1.3422818791946308E-2</v>
      </c>
      <c r="AB44" s="12">
        <v>0.53691275167785235</v>
      </c>
      <c r="AC44" s="12">
        <v>0.38926174496644295</v>
      </c>
      <c r="AD44" s="11">
        <v>0.42953020134228187</v>
      </c>
      <c r="AE44" s="31">
        <f>SUM(AA44:AD44)</f>
        <v>1.3691275167785235</v>
      </c>
      <c r="AG44" s="11">
        <v>0.36241610738255037</v>
      </c>
      <c r="AH44" s="11">
        <v>0.55033557046979864</v>
      </c>
      <c r="AI44" s="12">
        <v>0.44295302013422816</v>
      </c>
      <c r="AJ44" s="11">
        <v>0.16107382550335569</v>
      </c>
      <c r="AK44" s="31">
        <f>SUM(AG44:AJ44)</f>
        <v>1.5167785234899329</v>
      </c>
      <c r="AM44" s="11">
        <v>0.28187919463087246</v>
      </c>
      <c r="AN44" s="11">
        <v>0.17449664429530201</v>
      </c>
      <c r="AO44" s="11">
        <v>0.24161073825503357</v>
      </c>
      <c r="AP44" s="11">
        <v>1.3422818791946308E-2</v>
      </c>
      <c r="AQ44" s="31">
        <f>SUM(AM44:AP44)</f>
        <v>0.71140939597315433</v>
      </c>
      <c r="AS44" s="11">
        <v>0.17449664429530201</v>
      </c>
      <c r="AT44" s="11">
        <v>8.1342281879194633</v>
      </c>
      <c r="AU44" s="11">
        <v>0.20134228187919462</v>
      </c>
      <c r="AV44" s="11">
        <v>0.55033557046979864</v>
      </c>
      <c r="AW44" s="31">
        <f>SUM(AS44:AV44)</f>
        <v>9.0604026845637584</v>
      </c>
      <c r="AY44" s="11">
        <v>0.13422818791946309</v>
      </c>
      <c r="AZ44" s="11">
        <v>0.42953020134228187</v>
      </c>
      <c r="BA44" s="11">
        <v>0.29530201342281881</v>
      </c>
      <c r="BB44" s="11">
        <v>0.56375838926174493</v>
      </c>
      <c r="BC44" s="31">
        <f>SUM(AY44:BB44)</f>
        <v>1.4228187919463087</v>
      </c>
      <c r="BE44" s="11">
        <v>0.48322147651006714</v>
      </c>
      <c r="BF44" s="11">
        <v>0.26845637583892618</v>
      </c>
      <c r="BG44" s="11">
        <v>0.33557046979865773</v>
      </c>
      <c r="BH44" s="11">
        <v>0.48322147651006714</v>
      </c>
      <c r="BI44" s="31">
        <f>SUM(BE44:BH44)</f>
        <v>1.5704697986577181</v>
      </c>
      <c r="BK44" s="11">
        <v>0.51006711409395966</v>
      </c>
      <c r="BL44" s="11">
        <v>-1.1543624161073824</v>
      </c>
      <c r="BM44" s="11">
        <v>0.40268456375838924</v>
      </c>
      <c r="BN44" s="11">
        <v>0.2</v>
      </c>
      <c r="BO44" s="31">
        <f>SUM(BK44:BN44)</f>
        <v>-4.161073825503353E-2</v>
      </c>
      <c r="BQ44" s="11">
        <v>0.4</v>
      </c>
      <c r="BR44" s="11">
        <v>0.9</v>
      </c>
      <c r="BS44" s="11">
        <v>-1</v>
      </c>
      <c r="BT44" s="11">
        <v>0.2</v>
      </c>
      <c r="BU44" s="31">
        <f>SUM(BQ44:BT44)</f>
        <v>0.5</v>
      </c>
      <c r="BW44" s="11">
        <v>0.5</v>
      </c>
      <c r="BX44" s="11">
        <v>1.2</v>
      </c>
      <c r="BY44" s="11">
        <v>0.6</v>
      </c>
      <c r="BZ44" s="11">
        <v>32</v>
      </c>
      <c r="CA44" s="31">
        <f>SUM(BW44:BZ44)</f>
        <v>34.299999999999997</v>
      </c>
      <c r="CC44" s="11">
        <v>-0.2</v>
      </c>
      <c r="CD44" s="11">
        <v>0.1</v>
      </c>
      <c r="CE44" s="11">
        <v>-0.1</v>
      </c>
      <c r="CF44" s="11">
        <v>-1.6</v>
      </c>
      <c r="CG44" s="31">
        <f>SUM(CC44:CF44)</f>
        <v>-1.8</v>
      </c>
      <c r="CI44" s="11">
        <v>-0.8</v>
      </c>
      <c r="CJ44" s="11">
        <v>-0.6</v>
      </c>
      <c r="CK44" s="11">
        <v>-0.8</v>
      </c>
      <c r="CL44" s="11">
        <v>-1.1000000000000001</v>
      </c>
      <c r="CM44" s="31">
        <f>SUM(CI44:CL44)</f>
        <v>-3.3000000000000003</v>
      </c>
      <c r="CO44" s="11">
        <v>-0.8</v>
      </c>
      <c r="CP44" s="11">
        <v>-0.5</v>
      </c>
      <c r="CQ44" s="11">
        <v>-0.4</v>
      </c>
      <c r="CR44" s="11">
        <v>-1</v>
      </c>
      <c r="CS44" s="31">
        <v>-2.7</v>
      </c>
      <c r="CU44" s="218" t="s">
        <v>200</v>
      </c>
      <c r="CV44" s="11">
        <v>0.3</v>
      </c>
      <c r="CW44" s="11">
        <v>0.1</v>
      </c>
      <c r="CX44" s="11">
        <v>-0.3</v>
      </c>
      <c r="CY44" s="31">
        <v>-0.1</v>
      </c>
      <c r="DA44" s="11">
        <v>0.3</v>
      </c>
      <c r="DB44" s="11">
        <v>0.1</v>
      </c>
      <c r="DC44" s="11">
        <v>0.4</v>
      </c>
      <c r="DD44" s="11">
        <v>0.2</v>
      </c>
      <c r="DE44" s="31">
        <v>1.1000000000000001</v>
      </c>
      <c r="DG44" s="11">
        <v>0.6</v>
      </c>
      <c r="DH44" s="11">
        <v>0.8</v>
      </c>
      <c r="DI44" s="11">
        <v>0.4</v>
      </c>
      <c r="DJ44" s="11">
        <f>+DK44-DG44-DH44-DI44</f>
        <v>0.4</v>
      </c>
      <c r="DK44" s="31">
        <v>2.2000000000000002</v>
      </c>
      <c r="DM44" s="11">
        <v>0.8</v>
      </c>
      <c r="DN44" s="11">
        <v>1.3</v>
      </c>
      <c r="DO44" s="11">
        <v>1.1000000000000001</v>
      </c>
      <c r="DP44" s="11">
        <v>4.2</v>
      </c>
      <c r="DQ44" s="31">
        <f t="shared" si="10"/>
        <v>4.2</v>
      </c>
      <c r="DS44" s="11">
        <v>1</v>
      </c>
      <c r="DT44" s="11">
        <v>0.9</v>
      </c>
      <c r="DU44" s="11">
        <v>1.2</v>
      </c>
      <c r="DV44" s="11"/>
      <c r="DW44" s="31">
        <v>3.2</v>
      </c>
    </row>
    <row r="45" spans="1:127" ht="12.75" customHeight="1" x14ac:dyDescent="0.2">
      <c r="A45" s="2" t="s">
        <v>127</v>
      </c>
      <c r="C45" s="11">
        <v>0</v>
      </c>
      <c r="D45" s="11">
        <v>8</v>
      </c>
      <c r="E45" s="11">
        <v>0</v>
      </c>
      <c r="F45" s="11">
        <v>0</v>
      </c>
      <c r="G45" s="31">
        <f>SUM(C45:F45)</f>
        <v>8</v>
      </c>
      <c r="I45" s="11">
        <v>0</v>
      </c>
      <c r="J45" s="11">
        <v>12</v>
      </c>
      <c r="K45" s="11">
        <v>0</v>
      </c>
      <c r="L45" s="11">
        <v>0</v>
      </c>
      <c r="M45" s="31">
        <f>SUM(I45:L45)</f>
        <v>12</v>
      </c>
      <c r="O45" s="11">
        <v>0</v>
      </c>
      <c r="P45" s="11">
        <v>10</v>
      </c>
      <c r="Q45" s="11">
        <v>0</v>
      </c>
      <c r="R45" s="11">
        <v>0</v>
      </c>
      <c r="S45" s="31">
        <f>SUM(O45:R45)</f>
        <v>10</v>
      </c>
      <c r="U45" s="11">
        <v>0</v>
      </c>
      <c r="V45" s="11">
        <v>11</v>
      </c>
      <c r="W45" s="11">
        <v>0</v>
      </c>
      <c r="X45" s="11">
        <v>0</v>
      </c>
      <c r="Y45" s="31">
        <f>SUM(U45:X45)</f>
        <v>11</v>
      </c>
      <c r="AA45" s="11">
        <v>0</v>
      </c>
      <c r="AB45" s="12">
        <v>0</v>
      </c>
      <c r="AC45" s="12">
        <v>0</v>
      </c>
      <c r="AD45" s="12">
        <v>0</v>
      </c>
      <c r="AE45" s="31">
        <f>SUM(AA45:AD45)</f>
        <v>0</v>
      </c>
      <c r="AG45" s="11">
        <v>3.5</v>
      </c>
      <c r="AH45" s="11">
        <v>0</v>
      </c>
      <c r="AI45" s="11">
        <v>0</v>
      </c>
      <c r="AJ45" s="12">
        <v>0</v>
      </c>
      <c r="AK45" s="31">
        <f>SUM(AG45:AJ45)</f>
        <v>3.5</v>
      </c>
      <c r="AM45" s="11">
        <v>2</v>
      </c>
      <c r="AN45" s="11">
        <v>0</v>
      </c>
      <c r="AO45" s="11">
        <v>0</v>
      </c>
      <c r="AP45" s="12">
        <v>0</v>
      </c>
      <c r="AQ45" s="31">
        <f>SUM(AM45:AP45)</f>
        <v>2</v>
      </c>
      <c r="AS45" s="11">
        <v>0</v>
      </c>
      <c r="AT45" s="11">
        <v>2</v>
      </c>
      <c r="AU45" s="11">
        <v>0</v>
      </c>
      <c r="AV45" s="12">
        <v>0</v>
      </c>
      <c r="AW45" s="31">
        <f>SUM(AS45:AV45)</f>
        <v>2</v>
      </c>
      <c r="AY45" s="11">
        <v>8</v>
      </c>
      <c r="AZ45" s="11">
        <v>0</v>
      </c>
      <c r="BA45" s="11">
        <v>0</v>
      </c>
      <c r="BB45" s="12">
        <v>0</v>
      </c>
      <c r="BC45" s="31">
        <f>SUM(AY45:BB45)</f>
        <v>8</v>
      </c>
      <c r="BE45" s="11">
        <v>3.5</v>
      </c>
      <c r="BF45" s="11">
        <v>0</v>
      </c>
      <c r="BG45" s="11">
        <v>0</v>
      </c>
      <c r="BH45" s="12">
        <v>0</v>
      </c>
      <c r="BI45" s="31">
        <f>SUM(BE45:BH45)</f>
        <v>3.5</v>
      </c>
      <c r="BK45" s="11">
        <v>4</v>
      </c>
      <c r="BL45" s="11">
        <v>0</v>
      </c>
      <c r="BM45" s="11">
        <v>0</v>
      </c>
      <c r="BN45" s="12">
        <v>0</v>
      </c>
      <c r="BO45" s="31">
        <f>SUM(BK45:BN45)</f>
        <v>4</v>
      </c>
      <c r="BQ45" s="11">
        <v>0</v>
      </c>
      <c r="BR45" s="11">
        <v>4</v>
      </c>
      <c r="BS45" s="11">
        <v>0</v>
      </c>
      <c r="BT45" s="12">
        <v>0</v>
      </c>
      <c r="BU45" s="31">
        <f>SUM(BQ45:BT45)</f>
        <v>4</v>
      </c>
      <c r="BW45" s="11">
        <v>0</v>
      </c>
      <c r="BX45" s="11">
        <v>0</v>
      </c>
      <c r="BY45" s="11">
        <v>0</v>
      </c>
      <c r="BZ45" s="12">
        <v>0</v>
      </c>
      <c r="CA45" s="31">
        <f>SUM(BW45:BZ45)</f>
        <v>0</v>
      </c>
      <c r="CC45" s="11">
        <v>0</v>
      </c>
      <c r="CD45" s="11">
        <v>0</v>
      </c>
      <c r="CE45" s="11">
        <v>0</v>
      </c>
      <c r="CF45" s="12">
        <v>0</v>
      </c>
      <c r="CG45" s="31">
        <f>SUM(CC45:CF45)</f>
        <v>0</v>
      </c>
      <c r="CI45" s="11">
        <v>0</v>
      </c>
      <c r="CJ45" s="11">
        <v>0</v>
      </c>
      <c r="CK45" s="11">
        <v>0</v>
      </c>
      <c r="CL45" s="12">
        <v>0</v>
      </c>
      <c r="CM45" s="31">
        <f>SUM(CI45:CL45)</f>
        <v>0</v>
      </c>
      <c r="CO45" s="11">
        <v>0</v>
      </c>
      <c r="CP45" s="11">
        <v>0</v>
      </c>
      <c r="CQ45" s="11">
        <v>0</v>
      </c>
      <c r="CR45" s="12">
        <v>0</v>
      </c>
      <c r="CS45" s="31">
        <f>SUM(CO45:CR45)</f>
        <v>0</v>
      </c>
      <c r="CU45" s="11">
        <v>0</v>
      </c>
      <c r="CV45" s="11">
        <v>0</v>
      </c>
      <c r="CW45" s="11">
        <v>0</v>
      </c>
      <c r="CX45" s="11">
        <v>0</v>
      </c>
      <c r="CY45" s="31">
        <f>SUM(CU45:CX45)</f>
        <v>0</v>
      </c>
      <c r="DA45" s="13">
        <v>0</v>
      </c>
      <c r="DB45" s="13">
        <v>0</v>
      </c>
      <c r="DC45" s="13">
        <v>0</v>
      </c>
      <c r="DD45" s="13">
        <v>0</v>
      </c>
      <c r="DE45" s="261">
        <v>0</v>
      </c>
      <c r="DG45" s="13">
        <v>0</v>
      </c>
      <c r="DH45" s="13">
        <v>0</v>
      </c>
      <c r="DI45" s="13">
        <v>0</v>
      </c>
      <c r="DJ45" s="13">
        <v>0</v>
      </c>
      <c r="DK45" s="261">
        <f>+SUM(DG45:DJ45)</f>
        <v>0</v>
      </c>
      <c r="DM45" s="13">
        <v>0</v>
      </c>
      <c r="DN45" s="13">
        <v>0</v>
      </c>
      <c r="DO45" s="13">
        <v>0</v>
      </c>
      <c r="DP45" s="13">
        <v>0</v>
      </c>
      <c r="DQ45" s="261">
        <f t="shared" si="10"/>
        <v>0</v>
      </c>
      <c r="DS45" s="13">
        <v>0</v>
      </c>
      <c r="DT45" s="13">
        <v>0</v>
      </c>
      <c r="DU45" s="13">
        <v>0</v>
      </c>
      <c r="DV45" s="13"/>
      <c r="DW45" s="261">
        <f t="shared" ref="DW45" si="11">+DS45</f>
        <v>0</v>
      </c>
    </row>
    <row r="46" spans="1:127" ht="12.75" customHeight="1" x14ac:dyDescent="0.2">
      <c r="A46" s="2" t="s">
        <v>126</v>
      </c>
      <c r="C46" s="11">
        <v>15.033557046979865</v>
      </c>
      <c r="D46" s="11">
        <v>14.899328859060402</v>
      </c>
      <c r="E46" s="11">
        <v>14.765100671140939</v>
      </c>
      <c r="F46" s="11">
        <v>15.302013422818792</v>
      </c>
      <c r="G46" s="28"/>
      <c r="I46" s="11">
        <v>15.570469798657717</v>
      </c>
      <c r="J46" s="11">
        <v>14.496644295302014</v>
      </c>
      <c r="K46" s="11">
        <v>15.302013422818792</v>
      </c>
      <c r="L46" s="11">
        <v>15.973154362416107</v>
      </c>
      <c r="M46" s="28"/>
      <c r="O46" s="11">
        <v>16.51006711409396</v>
      </c>
      <c r="P46" s="11">
        <v>16.241610738255034</v>
      </c>
      <c r="Q46" s="11">
        <v>16.912751677852349</v>
      </c>
      <c r="R46" s="11">
        <v>18.389261744966444</v>
      </c>
      <c r="S46" s="28"/>
      <c r="U46" s="11">
        <v>19.060402684563758</v>
      </c>
      <c r="V46" s="11">
        <v>19.060402684563758</v>
      </c>
      <c r="W46" s="11">
        <v>20.402684563758388</v>
      </c>
      <c r="X46" s="11">
        <v>19.463087248322147</v>
      </c>
      <c r="Y46" s="28"/>
      <c r="AA46" s="11">
        <v>19.597315436241612</v>
      </c>
      <c r="AB46" s="12">
        <v>19.865771812080535</v>
      </c>
      <c r="AC46" s="11">
        <v>20.134228187919462</v>
      </c>
      <c r="AD46" s="11">
        <v>21.073825503355703</v>
      </c>
      <c r="AE46" s="28"/>
      <c r="AG46" s="13">
        <v>21.610738255033556</v>
      </c>
      <c r="AH46" s="13">
        <f>+AH28/AH42*1000</f>
        <v>22.78791799289899</v>
      </c>
      <c r="AI46" s="13">
        <f>+AI28/'OLD Valuation 2005-2019'!AD7*1000</f>
        <v>22.646503789970694</v>
      </c>
      <c r="AJ46" s="13">
        <f>+AJ28/'OLD Valuation 2005-2019'!AE7*1000</f>
        <v>23.287549613684796</v>
      </c>
      <c r="AK46" s="28"/>
      <c r="AM46" s="11">
        <f>(+AM28/'OLD Valuation 2005-2019'!AG7*1000)/7.45</f>
        <v>3.0375720051955337</v>
      </c>
      <c r="AN46" s="11">
        <f>(+AN28/'OLD Valuation 2005-2019'!AH7*1000)/7.45</f>
        <v>3.0330030826507421</v>
      </c>
      <c r="AO46" s="11">
        <f>(+AO28/'OLD Valuation 2005-2019'!AI7*1000)/7.45</f>
        <v>3.0459483631943187</v>
      </c>
      <c r="AP46" s="11">
        <f>(+AP28/'OLD Valuation 2005-2019'!AJ7*1000)/7.45</f>
        <v>3.0916375886422327</v>
      </c>
      <c r="AQ46" s="28"/>
      <c r="AS46" s="13">
        <v>23.221476510067113</v>
      </c>
      <c r="AT46" s="13">
        <v>31.275167785234899</v>
      </c>
      <c r="AU46" s="13">
        <v>31.812080536912752</v>
      </c>
      <c r="AV46" s="13">
        <v>32.348993288590606</v>
      </c>
      <c r="AW46" s="28"/>
      <c r="AY46" s="13">
        <v>31.349735249206759</v>
      </c>
      <c r="AZ46" s="13">
        <v>31.529809118884486</v>
      </c>
      <c r="BA46" s="13">
        <v>31.574827586303922</v>
      </c>
      <c r="BB46" s="13">
        <v>31.889956858239938</v>
      </c>
      <c r="BC46" s="28"/>
      <c r="BE46" s="13">
        <v>31.507643557404254</v>
      </c>
      <c r="BF46" s="13">
        <v>31.985884575686285</v>
      </c>
      <c r="BG46" s="13">
        <v>33.268695777666309</v>
      </c>
      <c r="BH46" s="13">
        <v>33.583772213240358</v>
      </c>
      <c r="BI46" s="28"/>
      <c r="BK46" s="13">
        <v>35.131273208005808</v>
      </c>
      <c r="BL46" s="13">
        <v>33.28841244226097</v>
      </c>
      <c r="BM46" s="13">
        <v>33.132520897122433</v>
      </c>
      <c r="BN46" s="13">
        <v>34</v>
      </c>
      <c r="BO46" s="28"/>
      <c r="BQ46" s="13">
        <f>+BQ28*1000/BQ42</f>
        <v>32.932337001149612</v>
      </c>
      <c r="BR46" s="13">
        <v>34</v>
      </c>
      <c r="BS46" s="13">
        <v>32</v>
      </c>
      <c r="BT46" s="13">
        <v>35</v>
      </c>
      <c r="BU46" s="28"/>
      <c r="BW46" s="13">
        <f>+BW28*1000/BW42</f>
        <v>35.887111669314024</v>
      </c>
      <c r="BX46" s="13">
        <f>+BX28*1000/BX42</f>
        <v>36.227500737680735</v>
      </c>
      <c r="BY46" s="13">
        <f>+BY28*1000/BY42</f>
        <v>36.618004866180051</v>
      </c>
      <c r="BZ46" s="13">
        <f>+BZ28*1000/BZ42</f>
        <v>30.092899800928997</v>
      </c>
      <c r="CA46" s="28"/>
      <c r="CC46" s="13">
        <f>+CC28*1000/CC42</f>
        <v>28.566688785666887</v>
      </c>
      <c r="CD46" s="13">
        <v>28</v>
      </c>
      <c r="CE46" s="13">
        <f>+CE28*1000/CE42</f>
        <v>28.551942785519429</v>
      </c>
      <c r="CF46" s="13">
        <f>+CF28*1000/CF42</f>
        <v>27.398068273980684</v>
      </c>
      <c r="CG46" s="28"/>
      <c r="CI46" s="13">
        <f>+CI28*1000/CI42</f>
        <v>26.314237263142374</v>
      </c>
      <c r="CJ46" s="13">
        <f>+CJ28*1000/CJ42</f>
        <v>25.352060753520608</v>
      </c>
      <c r="CK46" s="13">
        <f>+CK28*1000/CK42</f>
        <v>24.183440241834404</v>
      </c>
      <c r="CL46" s="13">
        <f>+CL28*1000/CL42</f>
        <v>23.895818048422598</v>
      </c>
      <c r="CM46" s="28"/>
      <c r="CO46" s="16">
        <f>+CO28*1000/CO42</f>
        <v>20.875334481873832</v>
      </c>
      <c r="CP46" s="16">
        <f>+CP28*1000/CP42</f>
        <v>21.897493174484985</v>
      </c>
      <c r="CQ46" s="13">
        <v>21</v>
      </c>
      <c r="CR46" s="13">
        <v>22</v>
      </c>
      <c r="CS46" s="28"/>
      <c r="CU46" s="16">
        <f>+CU28*1000/CU42</f>
        <v>22.21705137751303</v>
      </c>
      <c r="CV46" s="16">
        <f t="shared" ref="CV46:CX46" si="12">+CV28*1000/CV42</f>
        <v>23.399106478034252</v>
      </c>
      <c r="CW46" s="16">
        <f t="shared" si="12"/>
        <v>22.780156366344006</v>
      </c>
      <c r="CX46" s="16">
        <f t="shared" si="12"/>
        <v>23.443317200297841</v>
      </c>
      <c r="CY46" s="28"/>
      <c r="DA46" s="13">
        <f>+DA28*1000/DA42</f>
        <v>24.702159344750559</v>
      </c>
      <c r="DB46" s="13">
        <f>+DB28*1000/DB42</f>
        <v>21.984363365599403</v>
      </c>
      <c r="DC46" s="13">
        <f>+DC28*1000/DC42</f>
        <v>21.67023454951601</v>
      </c>
      <c r="DD46" s="13">
        <f>+DD28*1000/DD42</f>
        <v>23.040766939687266</v>
      </c>
      <c r="DE46" s="29"/>
      <c r="DG46" s="13">
        <f>+DG28*1000/DG42</f>
        <v>20.905907370806613</v>
      </c>
      <c r="DH46" s="13">
        <f>+DH28*1000/DH42</f>
        <v>19.188669842884057</v>
      </c>
      <c r="DI46" s="13">
        <f>+DI28*1000/DI42</f>
        <v>22.785764143864462</v>
      </c>
      <c r="DJ46" s="13">
        <v>26</v>
      </c>
      <c r="DK46" s="29"/>
      <c r="DM46" s="13">
        <f>+(DM28+DM27)*1000/DM42</f>
        <v>26.787043931496648</v>
      </c>
      <c r="DN46" s="13">
        <f>+(DN28+DN27)*1000/DN42</f>
        <v>31.04988830975428</v>
      </c>
      <c r="DO46" s="13">
        <f>+(DO28+DO27)*1000/DO42</f>
        <v>31.980640357408785</v>
      </c>
      <c r="DP46" s="13">
        <v>32</v>
      </c>
      <c r="DQ46" s="29">
        <f t="shared" si="10"/>
        <v>32</v>
      </c>
      <c r="DS46" s="13">
        <f>+(DS28+DS27)*1000/DS42</f>
        <v>34.0282948622487</v>
      </c>
      <c r="DT46" s="13">
        <f>+(DT28+DT27)*1000/DT42</f>
        <v>33.358153387937456</v>
      </c>
      <c r="DU46" s="13">
        <f>+(DU28+DU27)*1000/DU42</f>
        <v>34.959046909903201</v>
      </c>
      <c r="DV46" s="13"/>
      <c r="DW46" s="29">
        <f>+DU46</f>
        <v>34.959046909903201</v>
      </c>
    </row>
    <row r="47" spans="1:127" s="121" customFormat="1" ht="12.75" customHeight="1" x14ac:dyDescent="0.2">
      <c r="A47" s="121" t="s">
        <v>125</v>
      </c>
      <c r="C47" s="121">
        <v>198</v>
      </c>
      <c r="D47" s="121">
        <v>229</v>
      </c>
      <c r="E47" s="121">
        <v>262</v>
      </c>
      <c r="F47" s="121">
        <v>289</v>
      </c>
      <c r="G47" s="143"/>
      <c r="I47" s="121">
        <v>389</v>
      </c>
      <c r="J47" s="121">
        <v>366</v>
      </c>
      <c r="K47" s="121">
        <v>442</v>
      </c>
      <c r="L47" s="121">
        <v>503</v>
      </c>
      <c r="M47" s="143"/>
      <c r="O47" s="121">
        <v>449</v>
      </c>
      <c r="P47" s="121">
        <v>549</v>
      </c>
      <c r="Q47" s="121">
        <v>586</v>
      </c>
      <c r="R47" s="121">
        <v>459</v>
      </c>
      <c r="S47" s="143"/>
      <c r="U47" s="121">
        <v>340</v>
      </c>
      <c r="V47" s="121">
        <v>383</v>
      </c>
      <c r="W47" s="121">
        <v>245</v>
      </c>
      <c r="X47" s="121">
        <v>106</v>
      </c>
      <c r="Y47" s="143"/>
      <c r="AA47" s="144">
        <v>97</v>
      </c>
      <c r="AB47" s="145">
        <v>179</v>
      </c>
      <c r="AC47" s="144">
        <v>297</v>
      </c>
      <c r="AD47" s="121">
        <v>291</v>
      </c>
      <c r="AE47" s="143"/>
      <c r="AG47" s="144">
        <v>305</v>
      </c>
      <c r="AH47" s="146">
        <v>274</v>
      </c>
      <c r="AI47" s="144">
        <v>270</v>
      </c>
      <c r="AJ47" s="121">
        <v>297</v>
      </c>
      <c r="AK47" s="143"/>
      <c r="AM47" s="145">
        <f>+'OLD Valuation 2005-2019'!AG9</f>
        <v>309</v>
      </c>
      <c r="AN47" s="145">
        <f>+'OLD Valuation 2005-2019'!AH9</f>
        <v>329</v>
      </c>
      <c r="AO47" s="145">
        <f>+'OLD Valuation 2005-2019'!AI9</f>
        <v>202</v>
      </c>
      <c r="AP47" s="145">
        <f>+'OLD Valuation 2005-2019'!AJ9</f>
        <v>191</v>
      </c>
      <c r="AQ47" s="143"/>
      <c r="AS47" s="145">
        <f>+'OLD Valuation 2005-2019'!AL9</f>
        <v>254</v>
      </c>
      <c r="AT47" s="145">
        <v>190</v>
      </c>
      <c r="AU47" s="145">
        <v>202</v>
      </c>
      <c r="AV47" s="145">
        <v>204</v>
      </c>
      <c r="AW47" s="143"/>
      <c r="AY47" s="145">
        <f>+'OLD Valuation 2005-2019'!AQ9</f>
        <v>216</v>
      </c>
      <c r="AZ47" s="145">
        <f>+'OLD Valuation 2005-2019'!AR9</f>
        <v>208</v>
      </c>
      <c r="BA47" s="146">
        <f>+'OLD Valuation 2005-2019'!AS9</f>
        <v>274</v>
      </c>
      <c r="BB47" s="146">
        <f>+'OLD Valuation 2005-2019'!AT9</f>
        <v>268</v>
      </c>
      <c r="BC47" s="122"/>
      <c r="BE47" s="145">
        <f>+'OLD Valuation 2005-2019'!AV9</f>
        <v>314</v>
      </c>
      <c r="BF47" s="145">
        <f>+'OLD Valuation 2005-2019'!AW9</f>
        <v>374</v>
      </c>
      <c r="BG47" s="146">
        <v>325</v>
      </c>
      <c r="BH47" s="146">
        <v>332</v>
      </c>
      <c r="BI47" s="143"/>
      <c r="BK47" s="145">
        <f>+'OLD Valuation 2005-2019'!BA9</f>
        <v>445</v>
      </c>
      <c r="BL47" s="145">
        <f>+'OLD Valuation 2005-2019'!BB9</f>
        <v>384</v>
      </c>
      <c r="BM47" s="146">
        <v>352</v>
      </c>
      <c r="BN47" s="146">
        <v>357</v>
      </c>
      <c r="BO47" s="143"/>
      <c r="BQ47" s="145">
        <v>378</v>
      </c>
      <c r="BR47" s="145">
        <v>337</v>
      </c>
      <c r="BS47" s="146">
        <v>427</v>
      </c>
      <c r="BT47" s="146">
        <v>499</v>
      </c>
      <c r="BU47" s="143"/>
      <c r="BW47" s="145">
        <v>512</v>
      </c>
      <c r="BX47" s="145">
        <v>522</v>
      </c>
      <c r="BY47" s="146">
        <v>539</v>
      </c>
      <c r="BZ47" s="146">
        <v>283</v>
      </c>
      <c r="CA47" s="143"/>
      <c r="CC47" s="145">
        <v>197</v>
      </c>
      <c r="CD47" s="145">
        <v>175</v>
      </c>
      <c r="CE47" s="146">
        <v>167</v>
      </c>
      <c r="CF47" s="146">
        <v>89</v>
      </c>
      <c r="CG47" s="143"/>
      <c r="CI47" s="145">
        <v>118</v>
      </c>
      <c r="CJ47" s="145">
        <v>101</v>
      </c>
      <c r="CK47" s="146">
        <v>133</v>
      </c>
      <c r="CL47" s="146">
        <v>161</v>
      </c>
      <c r="CM47" s="143"/>
      <c r="CO47" s="145">
        <v>122</v>
      </c>
      <c r="CP47" s="145">
        <v>148</v>
      </c>
      <c r="CQ47" s="146">
        <v>190</v>
      </c>
      <c r="CR47" s="146">
        <v>271</v>
      </c>
      <c r="CS47" s="143"/>
      <c r="CU47" s="145">
        <v>275.8</v>
      </c>
      <c r="CV47" s="145">
        <v>288</v>
      </c>
      <c r="CW47" s="145">
        <v>279</v>
      </c>
      <c r="CX47" s="145">
        <v>315.60000000000002</v>
      </c>
      <c r="CY47" s="143"/>
      <c r="DA47" s="145">
        <v>306</v>
      </c>
      <c r="DB47" s="145">
        <v>302</v>
      </c>
      <c r="DC47" s="145">
        <v>360.8</v>
      </c>
      <c r="DD47" s="145">
        <v>391</v>
      </c>
      <c r="DE47" s="285"/>
      <c r="DG47" s="145">
        <v>357</v>
      </c>
      <c r="DH47" s="145">
        <v>414</v>
      </c>
      <c r="DI47" s="145">
        <v>369</v>
      </c>
      <c r="DJ47" s="145">
        <v>464</v>
      </c>
      <c r="DK47" s="285"/>
      <c r="DM47" s="145">
        <v>570</v>
      </c>
      <c r="DN47" s="145">
        <v>609</v>
      </c>
      <c r="DO47" s="145">
        <v>633</v>
      </c>
      <c r="DP47" s="145">
        <v>515</v>
      </c>
      <c r="DQ47" s="285">
        <f t="shared" si="10"/>
        <v>515</v>
      </c>
      <c r="DS47" s="145">
        <v>468</v>
      </c>
      <c r="DT47" s="145">
        <v>513</v>
      </c>
      <c r="DU47" s="145">
        <v>617</v>
      </c>
      <c r="DV47" s="145"/>
      <c r="DW47" s="285">
        <f>+DU47</f>
        <v>617</v>
      </c>
    </row>
    <row r="48" spans="1:127" ht="11.1" customHeight="1" x14ac:dyDescent="0.2">
      <c r="A48" s="109" t="s">
        <v>131</v>
      </c>
      <c r="AC48" s="15"/>
      <c r="AD48" s="15"/>
      <c r="AG48" s="15"/>
      <c r="AH48" s="15"/>
      <c r="BP48" s="109"/>
      <c r="BQ48" s="109" t="s">
        <v>158</v>
      </c>
      <c r="CF48" s="179"/>
      <c r="CG48" s="179"/>
      <c r="CL48" s="179"/>
      <c r="CM48" s="179"/>
    </row>
    <row r="49" spans="1:114" ht="11.1" customHeight="1" x14ac:dyDescent="0.2">
      <c r="A49" s="109" t="s">
        <v>132</v>
      </c>
      <c r="J49" s="4"/>
      <c r="P49" s="4"/>
      <c r="U49" s="4"/>
      <c r="V49" s="4"/>
      <c r="W49" s="4"/>
      <c r="X49" s="4"/>
      <c r="AA49" s="4"/>
      <c r="AB49" s="4"/>
      <c r="AC49" s="15"/>
      <c r="AD49" s="15"/>
      <c r="AG49" s="15"/>
      <c r="AH49" s="15"/>
      <c r="AI49" s="15"/>
      <c r="AJ49" s="4"/>
      <c r="BP49" s="109"/>
      <c r="BQ49" s="109" t="s">
        <v>159</v>
      </c>
    </row>
    <row r="50" spans="1:114" ht="11.1" customHeight="1" x14ac:dyDescent="0.2">
      <c r="A50" s="109" t="s">
        <v>130</v>
      </c>
      <c r="P50" s="4"/>
      <c r="U50" s="16"/>
      <c r="V50" s="16"/>
      <c r="W50" s="16"/>
      <c r="X50" s="16"/>
      <c r="AA50" s="16"/>
      <c r="AB50" s="16"/>
      <c r="AC50" s="16"/>
      <c r="AD50" s="16"/>
      <c r="AG50" s="17"/>
      <c r="AH50" s="17"/>
      <c r="AI50" s="17"/>
      <c r="AJ50" s="16"/>
    </row>
    <row r="51" spans="1:114" x14ac:dyDescent="0.2">
      <c r="J51" s="11"/>
      <c r="P51" s="11"/>
      <c r="V51" s="11"/>
    </row>
    <row r="53" spans="1:114" x14ac:dyDescent="0.2">
      <c r="DJ53" s="151"/>
    </row>
    <row r="54" spans="1:114" x14ac:dyDescent="0.2">
      <c r="DG54" s="4"/>
    </row>
  </sheetData>
  <mergeCells count="40">
    <mergeCell ref="BK1:BO1"/>
    <mergeCell ref="BK2:BO2"/>
    <mergeCell ref="AY1:BC1"/>
    <mergeCell ref="AY2:BC2"/>
    <mergeCell ref="C2:G2"/>
    <mergeCell ref="C1:G1"/>
    <mergeCell ref="O2:S2"/>
    <mergeCell ref="I1:M1"/>
    <mergeCell ref="I2:M2"/>
    <mergeCell ref="O1:S1"/>
    <mergeCell ref="BE1:BI1"/>
    <mergeCell ref="BE2:BI2"/>
    <mergeCell ref="U2:Y2"/>
    <mergeCell ref="AA2:AE2"/>
    <mergeCell ref="U1:Y1"/>
    <mergeCell ref="AM1:AQ1"/>
    <mergeCell ref="AM2:AQ2"/>
    <mergeCell ref="AA1:AE1"/>
    <mergeCell ref="AG1:AK1"/>
    <mergeCell ref="AG2:AK2"/>
    <mergeCell ref="AS1:AW1"/>
    <mergeCell ref="AS2:AW2"/>
    <mergeCell ref="BQ1:BU1"/>
    <mergeCell ref="BQ2:BU2"/>
    <mergeCell ref="CC1:CG1"/>
    <mergeCell ref="CC2:CG2"/>
    <mergeCell ref="DA2:DE2"/>
    <mergeCell ref="CU2:CY2"/>
    <mergeCell ref="BW2:CA2"/>
    <mergeCell ref="BW1:CA1"/>
    <mergeCell ref="DA1:DE1"/>
    <mergeCell ref="CO2:CS2"/>
    <mergeCell ref="CI1:CM1"/>
    <mergeCell ref="CI2:CM2"/>
    <mergeCell ref="DS1:DW1"/>
    <mergeCell ref="DS2:DW2"/>
    <mergeCell ref="DM1:DQ1"/>
    <mergeCell ref="DM2:DQ2"/>
    <mergeCell ref="DG1:DK1"/>
    <mergeCell ref="DG2:DK2"/>
  </mergeCells>
  <phoneticPr fontId="0" type="noConversion"/>
  <pageMargins left="0.35433070866141736" right="0.31496062992125984" top="0.70866141732283472" bottom="0.23622047244094491" header="0.23622047244094491" footer="0.19685039370078741"/>
  <pageSetup paperSize="9" scale="8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B62"/>
  <sheetViews>
    <sheetView showGridLines="0" zoomScaleNormal="100" zoomScaleSheetLayoutView="85" workbookViewId="0">
      <pane xSplit="1" ySplit="3" topLeftCell="CE19" activePane="bottomRight" state="frozen"/>
      <selection activeCell="O4" sqref="O4"/>
      <selection pane="topRight" activeCell="O4" sqref="O4"/>
      <selection pane="bottomLeft" activeCell="O4" sqref="O4"/>
      <selection pane="bottomRight" activeCell="CE1" sqref="CE1"/>
    </sheetView>
  </sheetViews>
  <sheetFormatPr defaultColWidth="9.140625" defaultRowHeight="12.75" x14ac:dyDescent="0.2"/>
  <cols>
    <col min="1" max="1" width="54" style="11" customWidth="1"/>
    <col min="2" max="2" width="4.7109375" style="74" customWidth="1"/>
    <col min="3" max="6" width="8.7109375" style="11" customWidth="1"/>
    <col min="7" max="7" width="4.7109375" style="74" customWidth="1"/>
    <col min="8" max="11" width="8.7109375" style="11" customWidth="1"/>
    <col min="12" max="12" width="4.7109375" style="74" customWidth="1"/>
    <col min="13" max="16" width="8.7109375" style="11" customWidth="1"/>
    <col min="17" max="17" width="4.7109375" style="74" customWidth="1"/>
    <col min="18" max="21" width="8.7109375" style="11" customWidth="1"/>
    <col min="22" max="22" width="4.7109375" style="74" customWidth="1"/>
    <col min="23" max="26" width="8.7109375" style="11" customWidth="1"/>
    <col min="27" max="27" width="4.7109375" style="11" customWidth="1"/>
    <col min="28" max="31" width="8.7109375" style="11" customWidth="1"/>
    <col min="32" max="32" width="4.7109375" style="11" customWidth="1"/>
    <col min="33" max="36" width="8.7109375" style="11" customWidth="1"/>
    <col min="37" max="37" width="4.7109375" style="11" customWidth="1"/>
    <col min="38" max="41" width="8.7109375" style="11" customWidth="1"/>
    <col min="42" max="42" width="4.7109375" style="11" customWidth="1"/>
    <col min="43" max="46" width="8.7109375" style="11" customWidth="1"/>
    <col min="47" max="47" width="4.7109375" style="11" customWidth="1"/>
    <col min="48" max="51" width="8.7109375" style="11" customWidth="1"/>
    <col min="52" max="52" width="4.7109375" style="11" customWidth="1"/>
    <col min="53" max="56" width="8.7109375" style="11" customWidth="1"/>
    <col min="57" max="57" width="4.7109375" style="11" customWidth="1"/>
    <col min="58" max="61" width="8.7109375" style="11" customWidth="1"/>
    <col min="62" max="62" width="4.5703125" style="11" customWidth="1"/>
    <col min="63" max="66" width="8.7109375" style="11" customWidth="1"/>
    <col min="67" max="67" width="4.28515625" style="11" customWidth="1"/>
    <col min="68" max="71" width="8.7109375" style="11" customWidth="1"/>
    <col min="72" max="72" width="4.28515625" style="11" customWidth="1"/>
    <col min="73" max="76" width="8.7109375" style="11" customWidth="1"/>
    <col min="77" max="77" width="3.7109375" style="11" customWidth="1"/>
    <col min="78" max="81" width="8.7109375" style="11" customWidth="1"/>
    <col min="82" max="82" width="3.7109375" style="11" customWidth="1"/>
    <col min="83" max="86" width="9.140625" style="11"/>
    <col min="87" max="87" width="3.7109375" style="11" customWidth="1"/>
    <col min="88" max="91" width="9.140625" style="11"/>
    <col min="92" max="92" width="3.7109375" style="11" customWidth="1"/>
    <col min="93" max="16384" width="9.140625" style="11"/>
  </cols>
  <sheetData>
    <row r="1" spans="1:106" x14ac:dyDescent="0.2">
      <c r="B1" s="73"/>
      <c r="C1" s="319"/>
      <c r="D1" s="319"/>
      <c r="E1" s="319"/>
      <c r="F1" s="319"/>
      <c r="G1" s="73"/>
      <c r="H1" s="319"/>
      <c r="I1" s="319"/>
      <c r="J1" s="319"/>
      <c r="K1" s="319"/>
      <c r="L1" s="73"/>
      <c r="M1" s="319"/>
      <c r="N1" s="319"/>
      <c r="O1" s="319"/>
      <c r="P1" s="319"/>
      <c r="Q1" s="73"/>
      <c r="R1" s="319"/>
      <c r="S1" s="319"/>
      <c r="T1" s="319"/>
      <c r="U1" s="319"/>
      <c r="V1" s="73"/>
      <c r="W1" s="319"/>
      <c r="X1" s="319"/>
      <c r="Y1" s="319"/>
      <c r="Z1" s="319"/>
      <c r="AB1" s="319"/>
      <c r="AC1" s="319"/>
      <c r="AD1" s="319"/>
      <c r="AE1" s="319"/>
      <c r="AG1" s="319"/>
      <c r="AH1" s="319"/>
      <c r="AI1" s="319"/>
      <c r="AJ1" s="319"/>
      <c r="AL1" s="319"/>
      <c r="AM1" s="319"/>
      <c r="AN1" s="319"/>
      <c r="AO1" s="319"/>
      <c r="AQ1" s="319"/>
      <c r="AR1" s="319"/>
      <c r="AS1" s="319"/>
      <c r="AT1" s="319"/>
      <c r="AV1" s="319"/>
      <c r="AW1" s="319"/>
      <c r="AX1" s="319"/>
      <c r="AY1" s="319"/>
      <c r="BA1" s="319"/>
      <c r="BB1" s="319"/>
      <c r="BC1" s="319"/>
      <c r="BD1" s="319"/>
      <c r="BF1" s="319"/>
      <c r="BG1" s="319"/>
      <c r="BH1" s="319"/>
      <c r="BI1" s="319"/>
      <c r="BK1" s="312" t="s">
        <v>163</v>
      </c>
      <c r="BL1" s="312"/>
      <c r="BM1" s="312"/>
      <c r="BN1" s="312"/>
      <c r="BO1" s="312"/>
    </row>
    <row r="2" spans="1:106" x14ac:dyDescent="0.2">
      <c r="A2" s="74" t="s">
        <v>150</v>
      </c>
      <c r="B2" s="75"/>
      <c r="C2" s="317" t="s">
        <v>109</v>
      </c>
      <c r="D2" s="318"/>
      <c r="E2" s="318"/>
      <c r="F2" s="318"/>
      <c r="G2" s="75"/>
      <c r="H2" s="317" t="s">
        <v>110</v>
      </c>
      <c r="I2" s="318"/>
      <c r="J2" s="318"/>
      <c r="K2" s="318"/>
      <c r="L2" s="75"/>
      <c r="M2" s="317" t="s">
        <v>111</v>
      </c>
      <c r="N2" s="318"/>
      <c r="O2" s="318"/>
      <c r="P2" s="318"/>
      <c r="Q2" s="75"/>
      <c r="R2" s="317" t="s">
        <v>112</v>
      </c>
      <c r="S2" s="318"/>
      <c r="T2" s="318"/>
      <c r="U2" s="318"/>
      <c r="V2" s="75"/>
      <c r="W2" s="317" t="s">
        <v>113</v>
      </c>
      <c r="X2" s="318"/>
      <c r="Y2" s="318"/>
      <c r="Z2" s="318"/>
      <c r="AB2" s="317" t="s">
        <v>114</v>
      </c>
      <c r="AC2" s="318"/>
      <c r="AD2" s="318"/>
      <c r="AE2" s="318"/>
      <c r="AG2" s="317" t="s">
        <v>119</v>
      </c>
      <c r="AH2" s="318"/>
      <c r="AI2" s="318"/>
      <c r="AJ2" s="318"/>
      <c r="AL2" s="317" t="s">
        <v>118</v>
      </c>
      <c r="AM2" s="318"/>
      <c r="AN2" s="318"/>
      <c r="AO2" s="318"/>
      <c r="AQ2" s="317" t="s">
        <v>117</v>
      </c>
      <c r="AR2" s="318"/>
      <c r="AS2" s="318"/>
      <c r="AT2" s="318"/>
      <c r="AV2" s="317" t="s">
        <v>116</v>
      </c>
      <c r="AW2" s="318"/>
      <c r="AX2" s="318"/>
      <c r="AY2" s="318"/>
      <c r="BA2" s="317" t="s">
        <v>115</v>
      </c>
      <c r="BB2" s="318"/>
      <c r="BC2" s="318"/>
      <c r="BD2" s="318"/>
      <c r="BF2" s="317" t="s">
        <v>129</v>
      </c>
      <c r="BG2" s="318"/>
      <c r="BH2" s="318"/>
      <c r="BI2" s="318"/>
      <c r="BK2" s="317" t="s">
        <v>157</v>
      </c>
      <c r="BL2" s="318"/>
      <c r="BM2" s="318"/>
      <c r="BN2" s="318"/>
      <c r="BP2" s="317" t="s">
        <v>171</v>
      </c>
      <c r="BQ2" s="318"/>
      <c r="BR2" s="318"/>
      <c r="BS2" s="318"/>
      <c r="BU2" s="317" t="s">
        <v>175</v>
      </c>
      <c r="BV2" s="318"/>
      <c r="BW2" s="318"/>
      <c r="BX2" s="318"/>
      <c r="BZ2" s="317" t="s">
        <v>177</v>
      </c>
      <c r="CA2" s="318"/>
      <c r="CB2" s="318"/>
      <c r="CC2" s="318"/>
      <c r="CE2" s="317" t="s">
        <v>198</v>
      </c>
      <c r="CF2" s="318"/>
      <c r="CG2" s="318"/>
      <c r="CH2" s="318"/>
      <c r="CJ2" s="317" t="s">
        <v>203</v>
      </c>
      <c r="CK2" s="318"/>
      <c r="CL2" s="318"/>
      <c r="CM2" s="318"/>
      <c r="CO2" s="317" t="s">
        <v>208</v>
      </c>
      <c r="CP2" s="318"/>
      <c r="CQ2" s="318"/>
      <c r="CR2" s="318"/>
      <c r="CT2" s="317" t="s">
        <v>213</v>
      </c>
      <c r="CU2" s="318"/>
      <c r="CV2" s="318"/>
      <c r="CW2" s="318"/>
      <c r="CY2" s="315">
        <v>2025</v>
      </c>
      <c r="CZ2" s="316"/>
      <c r="DA2" s="316"/>
      <c r="DB2" s="316"/>
    </row>
    <row r="3" spans="1:106" s="141" customFormat="1" x14ac:dyDescent="0.2">
      <c r="A3" s="137" t="s">
        <v>120</v>
      </c>
      <c r="B3" s="139"/>
      <c r="C3" s="139" t="s">
        <v>9</v>
      </c>
      <c r="D3" s="139" t="s">
        <v>10</v>
      </c>
      <c r="E3" s="139" t="s">
        <v>11</v>
      </c>
      <c r="F3" s="139" t="s">
        <v>12</v>
      </c>
      <c r="G3" s="139"/>
      <c r="H3" s="139" t="s">
        <v>9</v>
      </c>
      <c r="I3" s="139" t="s">
        <v>10</v>
      </c>
      <c r="J3" s="139" t="s">
        <v>11</v>
      </c>
      <c r="K3" s="139" t="s">
        <v>12</v>
      </c>
      <c r="L3" s="139"/>
      <c r="M3" s="139" t="s">
        <v>9</v>
      </c>
      <c r="N3" s="139" t="s">
        <v>10</v>
      </c>
      <c r="O3" s="139" t="s">
        <v>11</v>
      </c>
      <c r="P3" s="139" t="s">
        <v>12</v>
      </c>
      <c r="Q3" s="139"/>
      <c r="R3" s="139" t="s">
        <v>9</v>
      </c>
      <c r="S3" s="139" t="s">
        <v>10</v>
      </c>
      <c r="T3" s="139" t="s">
        <v>11</v>
      </c>
      <c r="U3" s="139" t="s">
        <v>12</v>
      </c>
      <c r="V3" s="139"/>
      <c r="W3" s="139" t="s">
        <v>9</v>
      </c>
      <c r="X3" s="139" t="s">
        <v>10</v>
      </c>
      <c r="Y3" s="139" t="s">
        <v>11</v>
      </c>
      <c r="Z3" s="139" t="s">
        <v>12</v>
      </c>
      <c r="AB3" s="139" t="s">
        <v>9</v>
      </c>
      <c r="AC3" s="139" t="s">
        <v>10</v>
      </c>
      <c r="AD3" s="139" t="s">
        <v>11</v>
      </c>
      <c r="AE3" s="139" t="s">
        <v>12</v>
      </c>
      <c r="AG3" s="139" t="s">
        <v>9</v>
      </c>
      <c r="AH3" s="139" t="s">
        <v>10</v>
      </c>
      <c r="AI3" s="139" t="s">
        <v>11</v>
      </c>
      <c r="AJ3" s="139" t="s">
        <v>12</v>
      </c>
      <c r="AL3" s="139" t="s">
        <v>9</v>
      </c>
      <c r="AM3" s="139" t="s">
        <v>10</v>
      </c>
      <c r="AN3" s="139" t="s">
        <v>11</v>
      </c>
      <c r="AO3" s="139" t="s">
        <v>12</v>
      </c>
      <c r="AQ3" s="139" t="s">
        <v>9</v>
      </c>
      <c r="AR3" s="139" t="s">
        <v>10</v>
      </c>
      <c r="AS3" s="139" t="s">
        <v>11</v>
      </c>
      <c r="AT3" s="139" t="s">
        <v>12</v>
      </c>
      <c r="AV3" s="139" t="s">
        <v>9</v>
      </c>
      <c r="AW3" s="140" t="s">
        <v>10</v>
      </c>
      <c r="AX3" s="140" t="s">
        <v>11</v>
      </c>
      <c r="AY3" s="140" t="s">
        <v>12</v>
      </c>
      <c r="AZ3" s="142"/>
      <c r="BA3" s="140" t="s">
        <v>9</v>
      </c>
      <c r="BB3" s="140" t="s">
        <v>10</v>
      </c>
      <c r="BC3" s="140" t="s">
        <v>11</v>
      </c>
      <c r="BD3" s="140" t="s">
        <v>12</v>
      </c>
      <c r="BE3" s="142"/>
      <c r="BF3" s="140" t="s">
        <v>9</v>
      </c>
      <c r="BG3" s="140" t="s">
        <v>10</v>
      </c>
      <c r="BH3" s="140" t="s">
        <v>11</v>
      </c>
      <c r="BI3" s="140" t="s">
        <v>12</v>
      </c>
      <c r="BJ3" s="142"/>
      <c r="BK3" s="140" t="s">
        <v>9</v>
      </c>
      <c r="BL3" s="140" t="s">
        <v>10</v>
      </c>
      <c r="BM3" s="140" t="s">
        <v>11</v>
      </c>
      <c r="BN3" s="140" t="s">
        <v>12</v>
      </c>
      <c r="BP3" s="140" t="s">
        <v>9</v>
      </c>
      <c r="BQ3" s="140" t="s">
        <v>10</v>
      </c>
      <c r="BR3" s="140" t="s">
        <v>11</v>
      </c>
      <c r="BS3" s="140" t="s">
        <v>12</v>
      </c>
      <c r="BU3" s="140" t="s">
        <v>9</v>
      </c>
      <c r="BV3" s="140" t="s">
        <v>10</v>
      </c>
      <c r="BW3" s="140" t="s">
        <v>11</v>
      </c>
      <c r="BX3" s="140" t="s">
        <v>12</v>
      </c>
      <c r="BZ3" s="140" t="s">
        <v>9</v>
      </c>
      <c r="CA3" s="140" t="s">
        <v>10</v>
      </c>
      <c r="CB3" s="140" t="s">
        <v>11</v>
      </c>
      <c r="CC3" s="140" t="s">
        <v>12</v>
      </c>
      <c r="CE3" s="140" t="s">
        <v>9</v>
      </c>
      <c r="CF3" s="140" t="s">
        <v>10</v>
      </c>
      <c r="CG3" s="140" t="s">
        <v>11</v>
      </c>
      <c r="CH3" s="140" t="s">
        <v>12</v>
      </c>
      <c r="CJ3" s="140" t="s">
        <v>9</v>
      </c>
      <c r="CK3" s="140" t="s">
        <v>10</v>
      </c>
      <c r="CL3" s="140" t="s">
        <v>11</v>
      </c>
      <c r="CM3" s="140" t="s">
        <v>12</v>
      </c>
      <c r="CO3" s="140" t="s">
        <v>9</v>
      </c>
      <c r="CP3" s="140" t="s">
        <v>10</v>
      </c>
      <c r="CQ3" s="140" t="s">
        <v>11</v>
      </c>
      <c r="CR3" s="140" t="s">
        <v>12</v>
      </c>
      <c r="CT3" s="140" t="s">
        <v>9</v>
      </c>
      <c r="CU3" s="140" t="s">
        <v>10</v>
      </c>
      <c r="CV3" s="140" t="s">
        <v>11</v>
      </c>
      <c r="CW3" s="140" t="s">
        <v>12</v>
      </c>
      <c r="CY3" s="140" t="s">
        <v>9</v>
      </c>
      <c r="CZ3" s="140" t="s">
        <v>10</v>
      </c>
      <c r="DA3" s="140" t="s">
        <v>11</v>
      </c>
      <c r="DB3" s="140" t="s">
        <v>12</v>
      </c>
    </row>
    <row r="4" spans="1:106" x14ac:dyDescent="0.2">
      <c r="D4" s="76"/>
      <c r="F4" s="76"/>
      <c r="I4" s="76"/>
      <c r="K4" s="76"/>
      <c r="N4" s="76"/>
      <c r="P4" s="76"/>
      <c r="S4" s="76"/>
      <c r="U4" s="76"/>
      <c r="X4" s="76"/>
      <c r="Z4" s="76"/>
      <c r="AC4" s="76"/>
      <c r="AE4" s="76"/>
      <c r="AH4" s="76"/>
      <c r="AJ4" s="76"/>
      <c r="AM4" s="76"/>
      <c r="AO4" s="76"/>
      <c r="AR4" s="76"/>
      <c r="AT4" s="76"/>
      <c r="AW4" s="76"/>
      <c r="AY4" s="76"/>
      <c r="BB4" s="76"/>
      <c r="BD4" s="76"/>
      <c r="BG4" s="76"/>
      <c r="BI4" s="76"/>
      <c r="BL4" s="76"/>
      <c r="BN4" s="76"/>
      <c r="BQ4" s="76"/>
      <c r="BS4" s="76"/>
      <c r="BV4" s="76"/>
      <c r="BX4" s="76"/>
      <c r="CA4" s="76"/>
      <c r="CC4" s="76"/>
      <c r="CF4" s="76"/>
      <c r="CH4" s="76"/>
      <c r="CK4" s="76"/>
      <c r="CM4" s="76"/>
      <c r="CP4" s="76"/>
      <c r="CR4" s="76"/>
      <c r="CU4" s="76"/>
      <c r="CW4" s="76"/>
      <c r="CZ4" s="76"/>
      <c r="DB4" s="76"/>
    </row>
    <row r="5" spans="1:106" x14ac:dyDescent="0.2">
      <c r="A5" s="74" t="s">
        <v>17</v>
      </c>
      <c r="D5" s="76"/>
      <c r="F5" s="76"/>
      <c r="I5" s="76"/>
      <c r="K5" s="76"/>
      <c r="N5" s="76"/>
      <c r="P5" s="76"/>
      <c r="S5" s="76"/>
      <c r="U5" s="76"/>
      <c r="X5" s="76"/>
      <c r="Z5" s="76"/>
      <c r="AC5" s="76"/>
      <c r="AE5" s="76"/>
      <c r="AH5" s="76"/>
      <c r="AJ5" s="76"/>
      <c r="AM5" s="76"/>
      <c r="AO5" s="76"/>
      <c r="AR5" s="76"/>
      <c r="AT5" s="76"/>
      <c r="AW5" s="76"/>
      <c r="AY5" s="76"/>
      <c r="BB5" s="76"/>
      <c r="BD5" s="76"/>
      <c r="BG5" s="76"/>
      <c r="BI5" s="76"/>
      <c r="BL5" s="76"/>
      <c r="BN5" s="76"/>
      <c r="BQ5" s="76"/>
      <c r="BS5" s="76"/>
      <c r="BV5" s="76"/>
      <c r="BX5" s="76"/>
      <c r="CA5" s="76"/>
      <c r="CC5" s="76"/>
      <c r="CF5" s="76"/>
      <c r="CH5" s="76"/>
      <c r="CK5" s="76"/>
      <c r="CM5" s="76"/>
      <c r="CP5" s="76"/>
      <c r="CR5" s="76"/>
      <c r="CU5" s="76"/>
      <c r="CW5" s="76"/>
      <c r="CZ5" s="76"/>
      <c r="DB5" s="76"/>
    </row>
    <row r="6" spans="1:106" x14ac:dyDescent="0.2">
      <c r="A6" s="11" t="s">
        <v>56</v>
      </c>
      <c r="C6" s="152">
        <v>135.03355704697987</v>
      </c>
      <c r="D6" s="153">
        <v>139.19463087248323</v>
      </c>
      <c r="E6" s="152">
        <v>140</v>
      </c>
      <c r="F6" s="153">
        <v>135.70469798657717</v>
      </c>
      <c r="G6" s="154"/>
      <c r="H6" s="152">
        <v>135.9731543624161</v>
      </c>
      <c r="I6" s="153">
        <v>132.75167785234899</v>
      </c>
      <c r="J6" s="152">
        <v>133.55704697986576</v>
      </c>
      <c r="K6" s="153">
        <v>110.06711409395973</v>
      </c>
      <c r="L6" s="154"/>
      <c r="M6" s="152">
        <v>156.37583892617448</v>
      </c>
      <c r="N6" s="153">
        <v>165.63758389261744</v>
      </c>
      <c r="O6" s="152">
        <v>178.65771812080536</v>
      </c>
      <c r="P6" s="153">
        <v>186.17449664429529</v>
      </c>
      <c r="Q6" s="154"/>
      <c r="R6" s="152">
        <v>192.21476510067114</v>
      </c>
      <c r="S6" s="153">
        <v>202.14765100671141</v>
      </c>
      <c r="T6" s="152">
        <v>212.75167785234899</v>
      </c>
      <c r="U6" s="153">
        <v>212.75167785234899</v>
      </c>
      <c r="V6" s="154"/>
      <c r="W6" s="152">
        <v>220.40268456375838</v>
      </c>
      <c r="X6" s="153">
        <v>215.43624161073825</v>
      </c>
      <c r="Y6" s="152">
        <v>213.55704697986576</v>
      </c>
      <c r="Z6" s="153">
        <v>217.58389261744966</v>
      </c>
      <c r="AA6" s="152"/>
      <c r="AB6" s="152">
        <v>225.63758389261744</v>
      </c>
      <c r="AC6" s="153">
        <v>242.41610738255034</v>
      </c>
      <c r="AD6" s="152">
        <v>230.06711409395973</v>
      </c>
      <c r="AE6" s="153">
        <v>237.18120805369128</v>
      </c>
      <c r="AF6" s="152"/>
      <c r="AG6" s="152">
        <v>242.01342281879195</v>
      </c>
      <c r="AH6" s="153">
        <v>243.08724832214764</v>
      </c>
      <c r="AI6" s="152">
        <v>256.51006711409394</v>
      </c>
      <c r="AJ6" s="153">
        <v>266.8456375838926</v>
      </c>
      <c r="AK6" s="152"/>
      <c r="AL6" s="152">
        <v>263.48993288590606</v>
      </c>
      <c r="AM6" s="153">
        <v>272.34899328859058</v>
      </c>
      <c r="AN6" s="152">
        <v>271.14093959731542</v>
      </c>
      <c r="AO6" s="153">
        <v>269.53020134228188</v>
      </c>
      <c r="AP6" s="152"/>
      <c r="AQ6" s="152">
        <v>273.42281879194633</v>
      </c>
      <c r="AR6" s="153">
        <v>270.73825503355704</v>
      </c>
      <c r="AS6" s="152">
        <v>270.33557046979865</v>
      </c>
      <c r="AT6" s="153">
        <v>268.59060402684565</v>
      </c>
      <c r="AU6" s="152"/>
      <c r="AV6" s="152">
        <v>271.14093959731542</v>
      </c>
      <c r="AW6" s="153">
        <v>273.55704697986579</v>
      </c>
      <c r="AX6" s="152">
        <v>286.17449664429529</v>
      </c>
      <c r="AY6" s="153">
        <v>291.94630872483219</v>
      </c>
      <c r="AZ6" s="152"/>
      <c r="BA6" s="152">
        <v>311.54362416107381</v>
      </c>
      <c r="BB6" s="153">
        <v>322.14765100671138</v>
      </c>
      <c r="BC6" s="152">
        <v>319.59731543624162</v>
      </c>
      <c r="BD6" s="153">
        <v>333.2</v>
      </c>
      <c r="BE6" s="152"/>
      <c r="BF6" s="152">
        <v>369.2</v>
      </c>
      <c r="BG6" s="153">
        <v>373.5</v>
      </c>
      <c r="BH6" s="152">
        <v>366.1</v>
      </c>
      <c r="BI6" s="153">
        <v>73.5</v>
      </c>
      <c r="BJ6" s="152"/>
      <c r="BK6" s="152">
        <v>576.1</v>
      </c>
      <c r="BL6" s="153">
        <v>574.1</v>
      </c>
      <c r="BM6" s="152">
        <v>594.6</v>
      </c>
      <c r="BN6" s="153">
        <v>597.4</v>
      </c>
      <c r="BO6" s="152"/>
      <c r="BP6" s="152">
        <v>576.6</v>
      </c>
      <c r="BQ6" s="153">
        <v>571.9</v>
      </c>
      <c r="BR6" s="152">
        <v>578.20000000000005</v>
      </c>
      <c r="BS6" s="153">
        <v>589.20000000000005</v>
      </c>
      <c r="BT6" s="152"/>
      <c r="BU6" s="152">
        <v>584</v>
      </c>
      <c r="BV6" s="153">
        <v>582.29999999999995</v>
      </c>
      <c r="BW6" s="152">
        <v>581.1</v>
      </c>
      <c r="BX6" s="153">
        <v>594</v>
      </c>
      <c r="BZ6" s="152">
        <v>571.29999999999995</v>
      </c>
      <c r="CA6" s="153">
        <v>601.4</v>
      </c>
      <c r="CB6" s="152">
        <v>600.4</v>
      </c>
      <c r="CC6" s="153">
        <v>626.9</v>
      </c>
      <c r="CE6" s="152">
        <v>620.20000000000005</v>
      </c>
      <c r="CF6" s="153">
        <v>626.6</v>
      </c>
      <c r="CG6" s="152">
        <v>625.29999999999995</v>
      </c>
      <c r="CH6" s="153">
        <v>621.70000000000005</v>
      </c>
      <c r="CJ6" s="152">
        <v>616</v>
      </c>
      <c r="CK6" s="153">
        <v>537.70000000000005</v>
      </c>
      <c r="CL6" s="152">
        <v>534.70000000000005</v>
      </c>
      <c r="CM6" s="153">
        <v>528.4</v>
      </c>
      <c r="CO6" s="152">
        <v>524.79999999999995</v>
      </c>
      <c r="CP6" s="153">
        <v>508.6</v>
      </c>
      <c r="CQ6" s="152">
        <v>522.29999999999995</v>
      </c>
      <c r="CR6" s="153">
        <v>544.4</v>
      </c>
      <c r="CT6" s="234">
        <v>530</v>
      </c>
      <c r="CU6" s="273">
        <v>642</v>
      </c>
      <c r="CV6" s="234">
        <v>644</v>
      </c>
      <c r="CW6" s="273">
        <f>241+405</f>
        <v>646</v>
      </c>
      <c r="CY6" s="234">
        <f>427+250</f>
        <v>677</v>
      </c>
      <c r="CZ6" s="273">
        <f>418+255</f>
        <v>673</v>
      </c>
      <c r="DA6" s="234">
        <f>422+264</f>
        <v>686</v>
      </c>
      <c r="DB6" s="273"/>
    </row>
    <row r="7" spans="1:106" x14ac:dyDescent="0.2">
      <c r="A7" s="11" t="s">
        <v>57</v>
      </c>
      <c r="C7" s="152">
        <v>103.22147651006711</v>
      </c>
      <c r="D7" s="153">
        <v>104.56375838926174</v>
      </c>
      <c r="E7" s="152">
        <v>108.05369127516778</v>
      </c>
      <c r="F7" s="153">
        <v>108.05369127516778</v>
      </c>
      <c r="G7" s="154"/>
      <c r="H7" s="152">
        <v>112.88590604026845</v>
      </c>
      <c r="I7" s="153">
        <v>100.67114093959731</v>
      </c>
      <c r="J7" s="152">
        <v>102.95302013422818</v>
      </c>
      <c r="K7" s="153">
        <v>108.59060402684564</v>
      </c>
      <c r="L7" s="154"/>
      <c r="M7" s="152">
        <v>141.87919463087249</v>
      </c>
      <c r="N7" s="153">
        <v>150.20134228187919</v>
      </c>
      <c r="O7" s="152">
        <v>189.79865771812081</v>
      </c>
      <c r="P7" s="153">
        <v>202.41610738255034</v>
      </c>
      <c r="Q7" s="154"/>
      <c r="R7" s="152">
        <v>213.95973154362414</v>
      </c>
      <c r="S7" s="153">
        <v>235.43624161073825</v>
      </c>
      <c r="T7" s="152">
        <v>251.54362416107381</v>
      </c>
      <c r="U7" s="153">
        <v>269.66442953020135</v>
      </c>
      <c r="V7" s="154"/>
      <c r="W7" s="152">
        <v>282.55033557046977</v>
      </c>
      <c r="X7" s="153">
        <v>314.49664429530202</v>
      </c>
      <c r="Y7" s="152">
        <v>342.01342281879192</v>
      </c>
      <c r="Z7" s="153">
        <v>357.98657718120802</v>
      </c>
      <c r="AA7" s="152"/>
      <c r="AB7" s="152">
        <v>396.6442953020134</v>
      </c>
      <c r="AC7" s="153">
        <v>410.33557046979865</v>
      </c>
      <c r="AD7" s="152">
        <v>419.73154362416108</v>
      </c>
      <c r="AE7" s="153">
        <v>432.88590604026842</v>
      </c>
      <c r="AF7" s="152"/>
      <c r="AG7" s="152">
        <v>433.55704697986579</v>
      </c>
      <c r="AH7" s="153">
        <v>437.98657718120802</v>
      </c>
      <c r="AI7" s="152">
        <v>441.744966442953</v>
      </c>
      <c r="AJ7" s="153">
        <v>437.58389261744964</v>
      </c>
      <c r="AK7" s="152"/>
      <c r="AL7" s="152">
        <v>440.53691275167785</v>
      </c>
      <c r="AM7" s="153">
        <v>437.04697986577179</v>
      </c>
      <c r="AN7" s="152">
        <v>435.30201342281879</v>
      </c>
      <c r="AO7" s="153">
        <v>436.51006711409394</v>
      </c>
      <c r="AP7" s="152"/>
      <c r="AQ7" s="152">
        <v>433.28859060402681</v>
      </c>
      <c r="AR7" s="153">
        <v>427.65100671140937</v>
      </c>
      <c r="AS7" s="152">
        <v>426.04026845637583</v>
      </c>
      <c r="AT7" s="153">
        <v>421.20805369127515</v>
      </c>
      <c r="AU7" s="152"/>
      <c r="AV7" s="152">
        <v>414.36241610738256</v>
      </c>
      <c r="AW7" s="153">
        <v>409.39597315436242</v>
      </c>
      <c r="AX7" s="152">
        <v>412.75167785234896</v>
      </c>
      <c r="AY7" s="153">
        <v>407.38255033557044</v>
      </c>
      <c r="AZ7" s="152"/>
      <c r="BA7" s="152">
        <v>410.33557046979865</v>
      </c>
      <c r="BB7" s="153">
        <v>368.05369127516775</v>
      </c>
      <c r="BC7" s="152">
        <v>361.87919463087246</v>
      </c>
      <c r="BD7" s="153">
        <v>367.2</v>
      </c>
      <c r="BE7" s="152"/>
      <c r="BF7" s="152">
        <v>365.5</v>
      </c>
      <c r="BG7" s="153">
        <v>359.3</v>
      </c>
      <c r="BH7" s="152">
        <v>334.4</v>
      </c>
      <c r="BI7" s="153">
        <v>272.8</v>
      </c>
      <c r="BJ7" s="152"/>
      <c r="BK7" s="152">
        <v>627.79999999999995</v>
      </c>
      <c r="BL7" s="153">
        <v>720.8</v>
      </c>
      <c r="BM7" s="152">
        <v>709.1</v>
      </c>
      <c r="BN7" s="153">
        <v>698.9</v>
      </c>
      <c r="BO7" s="152"/>
      <c r="BP7" s="152">
        <v>673.2</v>
      </c>
      <c r="BQ7" s="153">
        <v>656.2</v>
      </c>
      <c r="BR7" s="152">
        <v>651.20000000000005</v>
      </c>
      <c r="BS7" s="153">
        <v>645.20000000000005</v>
      </c>
      <c r="BT7" s="152"/>
      <c r="BU7" s="152">
        <f>625.5+35.4</f>
        <v>660.9</v>
      </c>
      <c r="BV7" s="153">
        <f>615.8+33.8</f>
        <v>649.59999999999991</v>
      </c>
      <c r="BW7" s="152">
        <f>602.9+32.4</f>
        <v>635.29999999999995</v>
      </c>
      <c r="BX7" s="153">
        <f>604.1+37.2</f>
        <v>641.30000000000007</v>
      </c>
      <c r="BZ7" s="152">
        <v>614.5</v>
      </c>
      <c r="CA7" s="153">
        <v>622.1</v>
      </c>
      <c r="CB7" s="152">
        <v>614.4</v>
      </c>
      <c r="CC7" s="153">
        <v>657.6</v>
      </c>
      <c r="CE7" s="152">
        <v>662.6</v>
      </c>
      <c r="CF7" s="153">
        <v>698</v>
      </c>
      <c r="CG7" s="152">
        <v>715.6</v>
      </c>
      <c r="CH7" s="153">
        <v>782.9</v>
      </c>
      <c r="CJ7" s="152">
        <v>818</v>
      </c>
      <c r="CK7" s="153">
        <v>808.3</v>
      </c>
      <c r="CL7" s="152">
        <v>819.6</v>
      </c>
      <c r="CM7" s="153">
        <v>844.8</v>
      </c>
      <c r="CO7" s="152">
        <v>846.7</v>
      </c>
      <c r="CP7" s="153">
        <v>836.3</v>
      </c>
      <c r="CQ7" s="152">
        <v>877.5</v>
      </c>
      <c r="CR7" s="153">
        <v>1013.9</v>
      </c>
      <c r="CT7" s="234">
        <v>1033</v>
      </c>
      <c r="CU7" s="273">
        <v>1171</v>
      </c>
      <c r="CV7" s="234">
        <v>1260</v>
      </c>
      <c r="CW7" s="273">
        <v>1464</v>
      </c>
      <c r="CY7" s="234">
        <v>1664</v>
      </c>
      <c r="CZ7" s="273">
        <v>1768</v>
      </c>
      <c r="DA7" s="234">
        <v>1916</v>
      </c>
      <c r="DB7" s="273"/>
    </row>
    <row r="8" spans="1:106" s="77" customFormat="1" x14ac:dyDescent="0.2">
      <c r="A8" s="77" t="s">
        <v>58</v>
      </c>
      <c r="B8" s="78"/>
      <c r="C8" s="155">
        <v>54.228187919463089</v>
      </c>
      <c r="D8" s="156">
        <v>52.75167785234899</v>
      </c>
      <c r="E8" s="155">
        <v>50.604026845637584</v>
      </c>
      <c r="F8" s="156">
        <v>53.020134228187921</v>
      </c>
      <c r="G8" s="157"/>
      <c r="H8" s="155">
        <v>55.302013422818789</v>
      </c>
      <c r="I8" s="156">
        <v>56.510067114093957</v>
      </c>
      <c r="J8" s="155">
        <v>54.899328859060404</v>
      </c>
      <c r="K8" s="156">
        <v>74.630872483221481</v>
      </c>
      <c r="L8" s="157"/>
      <c r="M8" s="155">
        <v>73.422818791946312</v>
      </c>
      <c r="N8" s="156">
        <v>74.765100671140942</v>
      </c>
      <c r="O8" s="155">
        <v>81.208053691275168</v>
      </c>
      <c r="P8" s="156">
        <v>72.617449664429529</v>
      </c>
      <c r="Q8" s="157"/>
      <c r="R8" s="155">
        <v>77.449664429530202</v>
      </c>
      <c r="S8" s="156">
        <v>89.798657718120808</v>
      </c>
      <c r="T8" s="155">
        <v>96.510067114093957</v>
      </c>
      <c r="U8" s="156">
        <v>97.718120805369125</v>
      </c>
      <c r="V8" s="157"/>
      <c r="W8" s="155">
        <v>102.95302013422818</v>
      </c>
      <c r="X8" s="156">
        <v>108.45637583892618</v>
      </c>
      <c r="Y8" s="155">
        <v>113.15436241610738</v>
      </c>
      <c r="Z8" s="156">
        <v>118.65771812080537</v>
      </c>
      <c r="AA8" s="155"/>
      <c r="AB8" s="155">
        <v>120.93959731543625</v>
      </c>
      <c r="AC8" s="156">
        <v>114.496644295302</v>
      </c>
      <c r="AD8" s="155">
        <v>112.48322147651007</v>
      </c>
      <c r="AE8" s="156">
        <v>130.46979865771812</v>
      </c>
      <c r="AF8" s="155"/>
      <c r="AG8" s="155">
        <v>131.6778523489933</v>
      </c>
      <c r="AH8" s="156">
        <v>133.02013422818791</v>
      </c>
      <c r="AI8" s="155">
        <v>143.62416107382549</v>
      </c>
      <c r="AJ8" s="156">
        <v>170.46979865771812</v>
      </c>
      <c r="AK8" s="155"/>
      <c r="AL8" s="155">
        <v>89.127516778523486</v>
      </c>
      <c r="AM8" s="156">
        <v>90.469798657718115</v>
      </c>
      <c r="AN8" s="155">
        <v>87.785234899328856</v>
      </c>
      <c r="AO8" s="156">
        <v>104.56375838926174</v>
      </c>
      <c r="AP8" s="155"/>
      <c r="AQ8" s="155">
        <v>107.38255033557047</v>
      </c>
      <c r="AR8" s="156">
        <v>103.89261744966443</v>
      </c>
      <c r="AS8" s="155">
        <v>96.107382550335572</v>
      </c>
      <c r="AT8" s="156">
        <v>103.22147651006711</v>
      </c>
      <c r="AU8" s="155"/>
      <c r="AV8" s="155">
        <v>90.469798657718115</v>
      </c>
      <c r="AW8" s="156">
        <v>102.14765100671141</v>
      </c>
      <c r="AX8" s="155">
        <v>107.38255033557047</v>
      </c>
      <c r="AY8" s="156">
        <v>101.87919463087248</v>
      </c>
      <c r="AZ8" s="155"/>
      <c r="BA8" s="155">
        <v>95.302013422818789</v>
      </c>
      <c r="BB8" s="156">
        <v>85.637583892617442</v>
      </c>
      <c r="BC8" s="155">
        <v>89.664429530201346</v>
      </c>
      <c r="BD8" s="156">
        <v>86.6</v>
      </c>
      <c r="BE8" s="155"/>
      <c r="BF8" s="155">
        <v>84.6</v>
      </c>
      <c r="BG8" s="156">
        <v>85.8</v>
      </c>
      <c r="BH8" s="155">
        <v>84.5</v>
      </c>
      <c r="BI8" s="156">
        <v>36</v>
      </c>
      <c r="BJ8" s="155"/>
      <c r="BK8" s="155">
        <v>43.1</v>
      </c>
      <c r="BL8" s="156">
        <v>49.6</v>
      </c>
      <c r="BM8" s="155">
        <v>52.1</v>
      </c>
      <c r="BN8" s="156">
        <v>51.9</v>
      </c>
      <c r="BO8" s="155"/>
      <c r="BP8" s="155">
        <v>56.3</v>
      </c>
      <c r="BQ8" s="156">
        <v>57.8</v>
      </c>
      <c r="BR8" s="155">
        <v>64.8</v>
      </c>
      <c r="BS8" s="156">
        <v>29.7</v>
      </c>
      <c r="BT8" s="155"/>
      <c r="BU8" s="155">
        <v>37.1</v>
      </c>
      <c r="BV8" s="156">
        <v>43.3</v>
      </c>
      <c r="BW8" s="155">
        <v>37.9</v>
      </c>
      <c r="BX8" s="156">
        <v>51.7</v>
      </c>
      <c r="BZ8" s="155">
        <f>2+52.8</f>
        <v>54.8</v>
      </c>
      <c r="CA8" s="156">
        <f>1.5+55</f>
        <v>56.5</v>
      </c>
      <c r="CB8" s="155">
        <f>1.3+54</f>
        <v>55.3</v>
      </c>
      <c r="CC8" s="156">
        <v>24.1</v>
      </c>
      <c r="CE8" s="155">
        <f>1+32.1</f>
        <v>33.1</v>
      </c>
      <c r="CF8" s="156">
        <f>1+36.1</f>
        <v>37.1</v>
      </c>
      <c r="CG8" s="155">
        <f>1+27</f>
        <v>28</v>
      </c>
      <c r="CH8" s="156">
        <v>25.7</v>
      </c>
      <c r="CJ8" s="155">
        <f>0.8+22</f>
        <v>22.8</v>
      </c>
      <c r="CK8" s="156">
        <f>0.8+28.5</f>
        <v>29.3</v>
      </c>
      <c r="CL8" s="155">
        <v>16.600000000000001</v>
      </c>
      <c r="CM8" s="156">
        <v>12.5</v>
      </c>
      <c r="CO8" s="155">
        <f>3.6+0.8</f>
        <v>4.4000000000000004</v>
      </c>
      <c r="CP8" s="156">
        <f>0.4+9.1+19.6</f>
        <v>29.1</v>
      </c>
      <c r="CQ8" s="155">
        <v>14.9</v>
      </c>
      <c r="CR8" s="156">
        <v>22.2</v>
      </c>
      <c r="CT8" s="235">
        <f>9+1+12</f>
        <v>22</v>
      </c>
      <c r="CU8" s="274">
        <f>9+4+9</f>
        <v>22</v>
      </c>
      <c r="CV8" s="235">
        <f>9+4+14</f>
        <v>27</v>
      </c>
      <c r="CW8" s="274">
        <f>39+8+5+21</f>
        <v>73</v>
      </c>
      <c r="CY8" s="235">
        <f>52+9+5+22</f>
        <v>88</v>
      </c>
      <c r="CZ8" s="274">
        <f>33+8+2+21</f>
        <v>64</v>
      </c>
      <c r="DA8" s="235">
        <f>16+8+2+24</f>
        <v>50</v>
      </c>
      <c r="DB8" s="274"/>
    </row>
    <row r="9" spans="1:106" s="79" customFormat="1" x14ac:dyDescent="0.2">
      <c r="A9" s="79" t="s">
        <v>59</v>
      </c>
      <c r="B9" s="80"/>
      <c r="C9" s="158">
        <f>SUM(C6:C8)</f>
        <v>292.48322147651004</v>
      </c>
      <c r="D9" s="159">
        <f>SUM(D6:D8)</f>
        <v>296.510067114094</v>
      </c>
      <c r="E9" s="158">
        <f>SUM(E6:E8)</f>
        <v>298.65771812080538</v>
      </c>
      <c r="F9" s="159">
        <f>SUM(F6:F8)</f>
        <v>296.77852348993287</v>
      </c>
      <c r="G9" s="160"/>
      <c r="H9" s="158">
        <f>SUM(H6:H8)</f>
        <v>304.16107382550331</v>
      </c>
      <c r="I9" s="159">
        <f>SUM(I6:I8)</f>
        <v>289.93288590604027</v>
      </c>
      <c r="J9" s="158">
        <f>SUM(J6:J8)</f>
        <v>291.40939597315435</v>
      </c>
      <c r="K9" s="159">
        <f>SUM(K6:K8)</f>
        <v>293.28859060402687</v>
      </c>
      <c r="L9" s="160"/>
      <c r="M9" s="158">
        <f>SUM(M6:M8)</f>
        <v>371.67785234899333</v>
      </c>
      <c r="N9" s="159">
        <f>SUM(N6:N8)</f>
        <v>390.60402684563758</v>
      </c>
      <c r="O9" s="158">
        <f>SUM(O6:O8)</f>
        <v>449.66442953020135</v>
      </c>
      <c r="P9" s="159">
        <f>SUM(P6:P8)</f>
        <v>461.20805369127515</v>
      </c>
      <c r="Q9" s="160"/>
      <c r="R9" s="158">
        <f>SUM(R6:R8)</f>
        <v>483.62416107382546</v>
      </c>
      <c r="S9" s="159">
        <f>SUM(S6:S8)</f>
        <v>527.3825503355705</v>
      </c>
      <c r="T9" s="158">
        <f>SUM(T6:T8)</f>
        <v>560.80536912751677</v>
      </c>
      <c r="U9" s="159">
        <f>SUM(U6:U8)</f>
        <v>580.13422818791946</v>
      </c>
      <c r="V9" s="160"/>
      <c r="W9" s="158">
        <f>SUM(W6:W8)</f>
        <v>605.90604026845631</v>
      </c>
      <c r="X9" s="159">
        <f>SUM(X6:X8)</f>
        <v>638.38926174496646</v>
      </c>
      <c r="Y9" s="158">
        <f>SUM(Y6:Y8)</f>
        <v>668.724832214765</v>
      </c>
      <c r="Z9" s="159">
        <f>SUM(Z6:Z8)</f>
        <v>694.22818791946304</v>
      </c>
      <c r="AA9" s="158"/>
      <c r="AB9" s="158">
        <f>SUM(AB6:AB8)</f>
        <v>743.22147651006708</v>
      </c>
      <c r="AC9" s="159">
        <f>SUM(AC6:AC8)</f>
        <v>767.24832214765092</v>
      </c>
      <c r="AD9" s="158">
        <f>SUM(AD6:AD8)</f>
        <v>762.28187919463085</v>
      </c>
      <c r="AE9" s="159">
        <f>SUM(AE6:AE8)</f>
        <v>800.53691275167785</v>
      </c>
      <c r="AF9" s="158"/>
      <c r="AG9" s="158">
        <f>SUM(AG6:AG8)</f>
        <v>807.24832214765104</v>
      </c>
      <c r="AH9" s="159">
        <f>SUM(AH6:AH8)</f>
        <v>814.09395973154358</v>
      </c>
      <c r="AI9" s="158">
        <f>SUM(AI6:AI8)</f>
        <v>841.87919463087246</v>
      </c>
      <c r="AJ9" s="159">
        <f>SUM(AJ6:AJ8)</f>
        <v>874.89932885906035</v>
      </c>
      <c r="AK9" s="158"/>
      <c r="AL9" s="158">
        <f>SUM(AL6:AL8)</f>
        <v>793.15436241610735</v>
      </c>
      <c r="AM9" s="159">
        <f>SUM(AM6:AM8)</f>
        <v>799.86577181208042</v>
      </c>
      <c r="AN9" s="158">
        <f>SUM(AN6:AN8)</f>
        <v>794.22818791946304</v>
      </c>
      <c r="AO9" s="159">
        <f>SUM(AO6:AO8)</f>
        <v>810.60402684563746</v>
      </c>
      <c r="AP9" s="158"/>
      <c r="AQ9" s="158">
        <f>SUM(AQ6:AQ8)</f>
        <v>814.09395973154358</v>
      </c>
      <c r="AR9" s="159">
        <f>SUM(AR6:AR8)</f>
        <v>802.28187919463085</v>
      </c>
      <c r="AS9" s="158">
        <f>SUM(AS6:AS8)</f>
        <v>792.48322147651015</v>
      </c>
      <c r="AT9" s="159">
        <f>SUM(AT6:AT8)</f>
        <v>793.02013422818789</v>
      </c>
      <c r="AU9" s="158"/>
      <c r="AV9" s="158">
        <f>SUM(AV6:AV8)</f>
        <v>775.97315436241604</v>
      </c>
      <c r="AW9" s="159">
        <f>SUM(AW6:AW8)</f>
        <v>785.10067114093954</v>
      </c>
      <c r="AX9" s="158">
        <f>SUM(AX6:AX8)</f>
        <v>806.30872483221481</v>
      </c>
      <c r="AY9" s="159">
        <f>SUM(AY6:AY8)</f>
        <v>801.20805369127515</v>
      </c>
      <c r="AZ9" s="158"/>
      <c r="BA9" s="158">
        <f>SUM(BA6:BA8)</f>
        <v>817.18120805369131</v>
      </c>
      <c r="BB9" s="159">
        <f>SUM(BB6:BB8)</f>
        <v>775.83892617449646</v>
      </c>
      <c r="BC9" s="158">
        <f>SUM(BC6:BC8)</f>
        <v>771.14093959731542</v>
      </c>
      <c r="BD9" s="159">
        <f>SUM(BD6:BD8)</f>
        <v>787</v>
      </c>
      <c r="BE9" s="158"/>
      <c r="BF9" s="158">
        <f>SUM(BF6:BF8)</f>
        <v>819.30000000000007</v>
      </c>
      <c r="BG9" s="159">
        <f>SUM(BG6:BG8)</f>
        <v>818.59999999999991</v>
      </c>
      <c r="BH9" s="158">
        <f>SUM(BH6:BH8)</f>
        <v>785</v>
      </c>
      <c r="BI9" s="159">
        <f>SUM(BI6:BI8)</f>
        <v>382.3</v>
      </c>
      <c r="BJ9" s="158"/>
      <c r="BK9" s="158">
        <f>SUM(BK6:BK8)</f>
        <v>1247</v>
      </c>
      <c r="BL9" s="159">
        <f>SUM(BL6:BL8)</f>
        <v>1344.5</v>
      </c>
      <c r="BM9" s="158">
        <f>SUM(BM6:BM8)</f>
        <v>1355.8</v>
      </c>
      <c r="BN9" s="159">
        <f>SUM(BN6:BN8)</f>
        <v>1348.2</v>
      </c>
      <c r="BO9" s="158"/>
      <c r="BP9" s="158">
        <f>SUM(BP6:BP8)</f>
        <v>1306.1000000000001</v>
      </c>
      <c r="BQ9" s="159">
        <f>SUM(BQ6:BQ8)</f>
        <v>1285.8999999999999</v>
      </c>
      <c r="BR9" s="158">
        <f>SUM(BR6:BR8)</f>
        <v>1294.2</v>
      </c>
      <c r="BS9" s="159">
        <f>SUM(BS6:BS8)</f>
        <v>1264.1000000000001</v>
      </c>
      <c r="BT9" s="158"/>
      <c r="BU9" s="158">
        <f>SUM(BU6:BU8)</f>
        <v>1282</v>
      </c>
      <c r="BV9" s="159">
        <f>SUM(BV6:BV8)</f>
        <v>1275.1999999999998</v>
      </c>
      <c r="BW9" s="158">
        <f>SUM(BW6:BW8)</f>
        <v>1254.3000000000002</v>
      </c>
      <c r="BX9" s="159">
        <f>SUM(BX6:BX8)</f>
        <v>1287.0000000000002</v>
      </c>
      <c r="BZ9" s="158">
        <f>SUM(BZ6:BZ8)</f>
        <v>1240.5999999999999</v>
      </c>
      <c r="CA9" s="159">
        <f>SUM(CA6:CA8)</f>
        <v>1280</v>
      </c>
      <c r="CB9" s="158">
        <f>SUM(CB6:CB8)</f>
        <v>1270.0999999999999</v>
      </c>
      <c r="CC9" s="159">
        <f>SUM(CC6:CC8)</f>
        <v>1308.5999999999999</v>
      </c>
      <c r="CE9" s="158">
        <f>SUM(CE6:CE8)</f>
        <v>1315.9</v>
      </c>
      <c r="CF9" s="159">
        <f t="shared" ref="CF9:CH9" si="0">SUM(CF6:CF8)</f>
        <v>1361.6999999999998</v>
      </c>
      <c r="CG9" s="158">
        <f t="shared" si="0"/>
        <v>1368.9</v>
      </c>
      <c r="CH9" s="159">
        <f t="shared" si="0"/>
        <v>1430.3</v>
      </c>
      <c r="CJ9" s="158">
        <f>SUM(CJ6:CJ8)</f>
        <v>1456.8</v>
      </c>
      <c r="CK9" s="159">
        <f>SUM(CK6:CK8)</f>
        <v>1375.3</v>
      </c>
      <c r="CL9" s="158">
        <f t="shared" ref="CL9:CM9" si="1">SUM(CL6:CL8)</f>
        <v>1370.9</v>
      </c>
      <c r="CM9" s="159">
        <f t="shared" si="1"/>
        <v>1385.6999999999998</v>
      </c>
      <c r="CO9" s="158">
        <f>SUM(CO6:CO8)</f>
        <v>1375.9</v>
      </c>
      <c r="CP9" s="159">
        <f>+SUM(CP6:CP8)</f>
        <v>1374</v>
      </c>
      <c r="CQ9" s="158">
        <f>SUM(CQ6:CQ8)</f>
        <v>1414.7</v>
      </c>
      <c r="CR9" s="159">
        <f>+SUM(CR6:CR8)</f>
        <v>1580.5</v>
      </c>
      <c r="CT9" s="236">
        <f>SUM(CT6:CT8)</f>
        <v>1585</v>
      </c>
      <c r="CU9" s="275">
        <f>+SUM(CU6:CU8)</f>
        <v>1835</v>
      </c>
      <c r="CV9" s="236">
        <f>+CV6+CV7+CV8</f>
        <v>1931</v>
      </c>
      <c r="CW9" s="275">
        <f>+CW6+CW7+CW8</f>
        <v>2183</v>
      </c>
      <c r="CY9" s="236">
        <f>SUM(CY6:CY8)</f>
        <v>2429</v>
      </c>
      <c r="CZ9" s="275">
        <f>+SUM(CZ6:CZ8)</f>
        <v>2505</v>
      </c>
      <c r="DA9" s="236">
        <f>SUM(DA6:DA8)</f>
        <v>2652</v>
      </c>
      <c r="DB9" s="275"/>
    </row>
    <row r="10" spans="1:106" x14ac:dyDescent="0.2">
      <c r="C10" s="152"/>
      <c r="D10" s="153"/>
      <c r="E10" s="152"/>
      <c r="F10" s="153"/>
      <c r="G10" s="154"/>
      <c r="H10" s="152"/>
      <c r="I10" s="153"/>
      <c r="J10" s="152"/>
      <c r="K10" s="153"/>
      <c r="L10" s="154"/>
      <c r="M10" s="152"/>
      <c r="N10" s="153"/>
      <c r="O10" s="152"/>
      <c r="P10" s="153"/>
      <c r="Q10" s="154"/>
      <c r="R10" s="152"/>
      <c r="S10" s="153"/>
      <c r="T10" s="152"/>
      <c r="U10" s="153"/>
      <c r="V10" s="154"/>
      <c r="W10" s="152"/>
      <c r="X10" s="153"/>
      <c r="Y10" s="152"/>
      <c r="Z10" s="153"/>
      <c r="AA10" s="152"/>
      <c r="AB10" s="152"/>
      <c r="AC10" s="153"/>
      <c r="AD10" s="152"/>
      <c r="AE10" s="153"/>
      <c r="AF10" s="152"/>
      <c r="AG10" s="152"/>
      <c r="AH10" s="153"/>
      <c r="AI10" s="152"/>
      <c r="AJ10" s="153"/>
      <c r="AK10" s="152"/>
      <c r="AL10" s="152"/>
      <c r="AM10" s="153"/>
      <c r="AN10" s="152"/>
      <c r="AO10" s="153"/>
      <c r="AP10" s="152"/>
      <c r="AQ10" s="152"/>
      <c r="AR10" s="153"/>
      <c r="AS10" s="152"/>
      <c r="AT10" s="153"/>
      <c r="AU10" s="152"/>
      <c r="AV10" s="152"/>
      <c r="AW10" s="153"/>
      <c r="AX10" s="152"/>
      <c r="AY10" s="153"/>
      <c r="AZ10" s="152"/>
      <c r="BA10" s="152"/>
      <c r="BB10" s="153"/>
      <c r="BC10" s="152"/>
      <c r="BD10" s="153"/>
      <c r="BE10" s="152"/>
      <c r="BF10" s="152"/>
      <c r="BG10" s="153"/>
      <c r="BH10" s="152"/>
      <c r="BI10" s="153"/>
      <c r="BJ10" s="152"/>
      <c r="BK10" s="152"/>
      <c r="BL10" s="153"/>
      <c r="BM10" s="152"/>
      <c r="BN10" s="153"/>
      <c r="BO10" s="152"/>
      <c r="BP10" s="152"/>
      <c r="BQ10" s="153"/>
      <c r="BR10" s="152"/>
      <c r="BS10" s="153"/>
      <c r="BT10" s="152"/>
      <c r="BU10" s="152"/>
      <c r="BV10" s="153"/>
      <c r="BW10" s="152"/>
      <c r="BX10" s="153"/>
      <c r="BZ10" s="152"/>
      <c r="CA10" s="153"/>
      <c r="CB10" s="152"/>
      <c r="CC10" s="153"/>
      <c r="CE10" s="152"/>
      <c r="CF10" s="153"/>
      <c r="CG10" s="152"/>
      <c r="CH10" s="153"/>
      <c r="CJ10" s="152"/>
      <c r="CK10" s="153"/>
      <c r="CL10" s="152"/>
      <c r="CM10" s="153"/>
      <c r="CO10" s="152"/>
      <c r="CP10" s="153"/>
      <c r="CQ10" s="152"/>
      <c r="CR10" s="153"/>
      <c r="CT10" s="234"/>
      <c r="CU10" s="273"/>
      <c r="CV10" s="152"/>
      <c r="CW10" s="153"/>
      <c r="CY10" s="234"/>
      <c r="CZ10" s="273"/>
      <c r="DA10" s="152"/>
      <c r="DB10" s="153"/>
    </row>
    <row r="11" spans="1:106" x14ac:dyDescent="0.2">
      <c r="A11" s="11" t="s">
        <v>60</v>
      </c>
      <c r="C11" s="152">
        <v>201.74496644295303</v>
      </c>
      <c r="D11" s="153">
        <v>203.35570469798657</v>
      </c>
      <c r="E11" s="152">
        <v>208.99328859060401</v>
      </c>
      <c r="F11" s="153">
        <v>217.98657718120805</v>
      </c>
      <c r="G11" s="154"/>
      <c r="H11" s="152">
        <v>240</v>
      </c>
      <c r="I11" s="153">
        <v>256.24161073825502</v>
      </c>
      <c r="J11" s="152">
        <v>273.28859060402687</v>
      </c>
      <c r="K11" s="153">
        <v>254.22818791946307</v>
      </c>
      <c r="L11" s="154"/>
      <c r="M11" s="152">
        <v>298.255033557047</v>
      </c>
      <c r="N11" s="153">
        <v>315.70469798657717</v>
      </c>
      <c r="O11" s="152">
        <v>342.68456375838923</v>
      </c>
      <c r="P11" s="153">
        <v>306.97986577181206</v>
      </c>
      <c r="Q11" s="154"/>
      <c r="R11" s="152">
        <v>354.63087248322148</v>
      </c>
      <c r="S11" s="153">
        <v>361.47651006711408</v>
      </c>
      <c r="T11" s="152">
        <v>365.23489932885906</v>
      </c>
      <c r="U11" s="153">
        <v>299.06040268456377</v>
      </c>
      <c r="V11" s="154"/>
      <c r="W11" s="152">
        <v>311.40939597315435</v>
      </c>
      <c r="X11" s="153">
        <v>288.59060402684565</v>
      </c>
      <c r="Y11" s="152">
        <v>282.95302013422815</v>
      </c>
      <c r="Z11" s="153">
        <v>294.63087248322148</v>
      </c>
      <c r="AA11" s="152"/>
      <c r="AB11" s="152">
        <v>341.61073825503354</v>
      </c>
      <c r="AC11" s="153">
        <v>383.22147651006708</v>
      </c>
      <c r="AD11" s="152">
        <v>388.85906040268458</v>
      </c>
      <c r="AE11" s="153">
        <v>381.20805369127515</v>
      </c>
      <c r="AF11" s="152"/>
      <c r="AG11" s="152">
        <v>457.7181208053691</v>
      </c>
      <c r="AH11" s="153">
        <v>433.82550335570471</v>
      </c>
      <c r="AI11" s="152">
        <v>447.38255033557044</v>
      </c>
      <c r="AJ11" s="153">
        <v>387.78523489932883</v>
      </c>
      <c r="AK11" s="152"/>
      <c r="AL11" s="152">
        <v>446.30872483221475</v>
      </c>
      <c r="AM11" s="153">
        <v>438.79194630872485</v>
      </c>
      <c r="AN11" s="152">
        <v>439.32885906040269</v>
      </c>
      <c r="AO11" s="153">
        <v>368.32214765100673</v>
      </c>
      <c r="AP11" s="152"/>
      <c r="AQ11" s="152">
        <v>455.9731543624161</v>
      </c>
      <c r="AR11" s="153">
        <v>405.50335570469798</v>
      </c>
      <c r="AS11" s="152">
        <v>399.06040268456377</v>
      </c>
      <c r="AT11" s="153">
        <v>356.6442953020134</v>
      </c>
      <c r="AU11" s="152"/>
      <c r="AV11" s="152">
        <v>382.28187919463085</v>
      </c>
      <c r="AW11" s="153">
        <v>371.54362416107381</v>
      </c>
      <c r="AX11" s="152">
        <v>388.05369127516775</v>
      </c>
      <c r="AY11" s="153">
        <v>350.60402684563758</v>
      </c>
      <c r="AZ11" s="152"/>
      <c r="BA11" s="152">
        <v>392.21476510067112</v>
      </c>
      <c r="BB11" s="153">
        <v>405.50335570469798</v>
      </c>
      <c r="BC11" s="152">
        <v>380</v>
      </c>
      <c r="BD11" s="153">
        <v>342.5</v>
      </c>
      <c r="BE11" s="152"/>
      <c r="BF11" s="152">
        <v>370.6</v>
      </c>
      <c r="BG11" s="153">
        <v>393.4</v>
      </c>
      <c r="BH11" s="152">
        <v>349.8</v>
      </c>
      <c r="BI11" s="153">
        <v>142.1</v>
      </c>
      <c r="BJ11" s="152"/>
      <c r="BK11" s="152">
        <v>216.6</v>
      </c>
      <c r="BL11" s="153">
        <v>225.9</v>
      </c>
      <c r="BM11" s="152">
        <v>219.6</v>
      </c>
      <c r="BN11" s="153">
        <v>226.1</v>
      </c>
      <c r="BO11" s="152"/>
      <c r="BP11" s="152">
        <v>247.4</v>
      </c>
      <c r="BQ11" s="153">
        <v>245.7</v>
      </c>
      <c r="BR11" s="152">
        <v>237.2</v>
      </c>
      <c r="BS11" s="153">
        <v>219.8</v>
      </c>
      <c r="BT11" s="152"/>
      <c r="BU11" s="152">
        <v>234.9</v>
      </c>
      <c r="BV11" s="153">
        <v>229.8</v>
      </c>
      <c r="BW11" s="152">
        <v>232</v>
      </c>
      <c r="BX11" s="153">
        <v>229.7</v>
      </c>
      <c r="BZ11" s="152">
        <v>233.9</v>
      </c>
      <c r="CA11" s="153">
        <v>255.2</v>
      </c>
      <c r="CB11" s="152">
        <v>237.9</v>
      </c>
      <c r="CC11" s="153">
        <v>243.6</v>
      </c>
      <c r="CE11" s="152">
        <v>243.7</v>
      </c>
      <c r="CF11" s="153">
        <v>294</v>
      </c>
      <c r="CG11" s="152">
        <v>278.60000000000002</v>
      </c>
      <c r="CH11" s="153">
        <v>287.39999999999998</v>
      </c>
      <c r="CJ11" s="152">
        <v>321.89999999999998</v>
      </c>
      <c r="CK11" s="153">
        <v>308.5</v>
      </c>
      <c r="CL11" s="152">
        <v>347.9</v>
      </c>
      <c r="CM11" s="153">
        <v>334.9</v>
      </c>
      <c r="CO11" s="152">
        <v>320.10000000000002</v>
      </c>
      <c r="CP11" s="153">
        <v>296.3</v>
      </c>
      <c r="CQ11" s="152">
        <v>314.3</v>
      </c>
      <c r="CR11" s="153">
        <v>311.3</v>
      </c>
      <c r="CT11" s="234">
        <v>321</v>
      </c>
      <c r="CU11" s="273">
        <v>405</v>
      </c>
      <c r="CV11" s="234">
        <v>392</v>
      </c>
      <c r="CW11" s="273">
        <v>424</v>
      </c>
      <c r="CY11" s="234">
        <v>436</v>
      </c>
      <c r="CZ11" s="273">
        <v>434</v>
      </c>
      <c r="DA11" s="234">
        <v>403</v>
      </c>
      <c r="DB11" s="273"/>
    </row>
    <row r="12" spans="1:106" x14ac:dyDescent="0.2">
      <c r="A12" s="11" t="s">
        <v>19</v>
      </c>
      <c r="C12" s="152">
        <v>248.3221476510067</v>
      </c>
      <c r="D12" s="153">
        <v>271.67785234899327</v>
      </c>
      <c r="E12" s="152">
        <v>276.91275167785233</v>
      </c>
      <c r="F12" s="153">
        <v>273.1543624161074</v>
      </c>
      <c r="G12" s="154"/>
      <c r="H12" s="152">
        <v>297.18120805369125</v>
      </c>
      <c r="I12" s="153">
        <v>319.06040268456377</v>
      </c>
      <c r="J12" s="152">
        <v>317.18120805369125</v>
      </c>
      <c r="K12" s="153">
        <v>295.9731543624161</v>
      </c>
      <c r="L12" s="154"/>
      <c r="M12" s="152">
        <v>347.24832214765098</v>
      </c>
      <c r="N12" s="153">
        <v>403.89261744966444</v>
      </c>
      <c r="O12" s="152">
        <v>390.33557046979865</v>
      </c>
      <c r="P12" s="153">
        <v>378.38926174496646</v>
      </c>
      <c r="Q12" s="154"/>
      <c r="R12" s="152">
        <v>395.70469798657717</v>
      </c>
      <c r="S12" s="153">
        <v>425.7718120805369</v>
      </c>
      <c r="T12" s="152">
        <v>403.22147651006708</v>
      </c>
      <c r="U12" s="153">
        <v>375.57046979865771</v>
      </c>
      <c r="V12" s="154"/>
      <c r="W12" s="152">
        <v>361.34228187919462</v>
      </c>
      <c r="X12" s="153">
        <v>371.54362416107381</v>
      </c>
      <c r="Y12" s="152">
        <v>374.36241610738256</v>
      </c>
      <c r="Z12" s="153">
        <v>335.9731543624161</v>
      </c>
      <c r="AA12" s="152"/>
      <c r="AB12" s="152">
        <v>385.63758389261744</v>
      </c>
      <c r="AC12" s="153">
        <v>445.7718120805369</v>
      </c>
      <c r="AD12" s="152">
        <v>478.12080536912748</v>
      </c>
      <c r="AE12" s="153">
        <v>470.46979865771812</v>
      </c>
      <c r="AF12" s="152"/>
      <c r="AG12" s="152">
        <v>534.89932885906035</v>
      </c>
      <c r="AH12" s="153">
        <v>534.76510067114089</v>
      </c>
      <c r="AI12" s="152">
        <v>509.53020134228188</v>
      </c>
      <c r="AJ12" s="153">
        <v>504.83221476510067</v>
      </c>
      <c r="AK12" s="152"/>
      <c r="AL12" s="152">
        <v>490.06711409395973</v>
      </c>
      <c r="AM12" s="153">
        <v>525.36912751677846</v>
      </c>
      <c r="AN12" s="152">
        <v>501.744966442953</v>
      </c>
      <c r="AO12" s="153">
        <v>508.72483221476512</v>
      </c>
      <c r="AP12" s="152"/>
      <c r="AQ12" s="152">
        <v>512.48322147651004</v>
      </c>
      <c r="AR12" s="153">
        <v>531.00671140939596</v>
      </c>
      <c r="AS12" s="152">
        <v>577.04697986577185</v>
      </c>
      <c r="AT12" s="153">
        <v>544.16107382550331</v>
      </c>
      <c r="AU12" s="152"/>
      <c r="AV12" s="152">
        <v>550.60402684563758</v>
      </c>
      <c r="AW12" s="153">
        <v>555.70469798657712</v>
      </c>
      <c r="AX12" s="152">
        <v>567.24832214765104</v>
      </c>
      <c r="AY12" s="153">
        <v>454.09395973154363</v>
      </c>
      <c r="AZ12" s="152"/>
      <c r="BA12" s="152">
        <v>584.96644295302008</v>
      </c>
      <c r="BB12" s="153">
        <v>615.30201342281873</v>
      </c>
      <c r="BC12" s="152">
        <v>546.97986577181211</v>
      </c>
      <c r="BD12" s="153">
        <f>490.7+5.1</f>
        <v>495.8</v>
      </c>
      <c r="BE12" s="152"/>
      <c r="BF12" s="152">
        <v>501.5</v>
      </c>
      <c r="BG12" s="153">
        <v>544.1</v>
      </c>
      <c r="BH12" s="152">
        <v>459.4</v>
      </c>
      <c r="BI12" s="153">
        <v>209.2</v>
      </c>
      <c r="BJ12" s="152"/>
      <c r="BK12" s="152">
        <v>299.60000000000002</v>
      </c>
      <c r="BL12" s="153">
        <v>356.5</v>
      </c>
      <c r="BM12" s="152">
        <v>332.2</v>
      </c>
      <c r="BN12" s="153">
        <f>267.3+16.2+2.1</f>
        <v>285.60000000000002</v>
      </c>
      <c r="BO12" s="152"/>
      <c r="BP12" s="152">
        <f>339.6+0.2</f>
        <v>339.8</v>
      </c>
      <c r="BQ12" s="153">
        <f>383+0.1</f>
        <v>383.1</v>
      </c>
      <c r="BR12" s="152">
        <f>396.6+0.8</f>
        <v>397.40000000000003</v>
      </c>
      <c r="BS12" s="153">
        <f>339+8+0.1</f>
        <v>347.1</v>
      </c>
      <c r="BT12" s="152"/>
      <c r="BU12" s="152">
        <v>343.5</v>
      </c>
      <c r="BV12" s="153">
        <f>381.5+0.4</f>
        <v>381.9</v>
      </c>
      <c r="BW12" s="152">
        <f>394+0.1</f>
        <v>394.1</v>
      </c>
      <c r="BX12" s="153">
        <f>224+36.7+5+0.1</f>
        <v>265.8</v>
      </c>
      <c r="BZ12" s="152">
        <f>317.8+0.2</f>
        <v>318</v>
      </c>
      <c r="CA12" s="153">
        <f>361.4+0.4</f>
        <v>361.79999999999995</v>
      </c>
      <c r="CB12" s="152">
        <f>378.6+125.7</f>
        <v>504.3</v>
      </c>
      <c r="CC12" s="153">
        <f>333.2+21.3+4.6+0.1</f>
        <v>359.20000000000005</v>
      </c>
      <c r="CE12" s="152">
        <f>506.8+0.2</f>
        <v>507</v>
      </c>
      <c r="CF12" s="153">
        <f>723.9+0.2</f>
        <v>724.1</v>
      </c>
      <c r="CG12" s="152">
        <f>639.5+0.2</f>
        <v>639.70000000000005</v>
      </c>
      <c r="CH12" s="153">
        <f>528.9+97.3+8.8+0.2</f>
        <v>635.19999999999993</v>
      </c>
      <c r="CJ12" s="152">
        <f>631.8+136.3+11.9+0.2</f>
        <v>780.19999999999993</v>
      </c>
      <c r="CK12" s="153">
        <f>505.5+102.5+4.2+0.2</f>
        <v>612.40000000000009</v>
      </c>
      <c r="CL12" s="152">
        <f>518.8+90.5+0.2+4.6</f>
        <v>614.1</v>
      </c>
      <c r="CM12" s="153">
        <f>522.5+0.2+98.2+3.3</f>
        <v>624.20000000000005</v>
      </c>
      <c r="CO12" s="152">
        <f>644.2+117.8+3.2+0.2</f>
        <v>765.40000000000009</v>
      </c>
      <c r="CP12" s="153">
        <f>688.8+100.7+3.3+0.2</f>
        <v>793</v>
      </c>
      <c r="CQ12" s="152">
        <f>668.3+126.3+4.5+0.2</f>
        <v>799.3</v>
      </c>
      <c r="CR12" s="153">
        <f>525.2+106.9+14.6+0.2</f>
        <v>646.90000000000009</v>
      </c>
      <c r="CT12" s="234">
        <f>418+230+106+14</f>
        <v>768</v>
      </c>
      <c r="CU12" s="273">
        <f>469+242+125+17</f>
        <v>853</v>
      </c>
      <c r="CV12" s="234">
        <f>458+216+117+13</f>
        <v>804</v>
      </c>
      <c r="CW12" s="273">
        <f>423+131+143+37</f>
        <v>734</v>
      </c>
      <c r="CY12" s="234">
        <f>486+107+22</f>
        <v>615</v>
      </c>
      <c r="CZ12" s="273">
        <f>507+28</f>
        <v>535</v>
      </c>
      <c r="DA12" s="234">
        <f>559+34</f>
        <v>593</v>
      </c>
      <c r="DB12" s="273"/>
    </row>
    <row r="13" spans="1:106" x14ac:dyDescent="0.2">
      <c r="A13" s="11" t="s">
        <v>218</v>
      </c>
      <c r="C13" s="152"/>
      <c r="D13" s="153"/>
      <c r="E13" s="152"/>
      <c r="F13" s="153"/>
      <c r="G13" s="154"/>
      <c r="H13" s="152"/>
      <c r="I13" s="153"/>
      <c r="J13" s="152"/>
      <c r="K13" s="153"/>
      <c r="L13" s="154"/>
      <c r="M13" s="152"/>
      <c r="N13" s="153"/>
      <c r="O13" s="152"/>
      <c r="P13" s="153"/>
      <c r="Q13" s="154"/>
      <c r="R13" s="152"/>
      <c r="S13" s="153"/>
      <c r="T13" s="152"/>
      <c r="U13" s="153"/>
      <c r="V13" s="154"/>
      <c r="W13" s="152"/>
      <c r="X13" s="153"/>
      <c r="Y13" s="152"/>
      <c r="Z13" s="153"/>
      <c r="AA13" s="152"/>
      <c r="AB13" s="152"/>
      <c r="AC13" s="153"/>
      <c r="AD13" s="152"/>
      <c r="AE13" s="153"/>
      <c r="AF13" s="152"/>
      <c r="AG13" s="152"/>
      <c r="AH13" s="153"/>
      <c r="AI13" s="152"/>
      <c r="AJ13" s="153"/>
      <c r="AK13" s="152"/>
      <c r="AL13" s="152"/>
      <c r="AM13" s="153"/>
      <c r="AN13" s="152"/>
      <c r="AO13" s="153"/>
      <c r="AP13" s="152"/>
      <c r="AQ13" s="152"/>
      <c r="AR13" s="153"/>
      <c r="AS13" s="152"/>
      <c r="AT13" s="153"/>
      <c r="AU13" s="152"/>
      <c r="AV13" s="152"/>
      <c r="AW13" s="153"/>
      <c r="AX13" s="152"/>
      <c r="AY13" s="153"/>
      <c r="AZ13" s="152"/>
      <c r="BA13" s="152"/>
      <c r="BB13" s="153"/>
      <c r="BC13" s="152"/>
      <c r="BD13" s="153"/>
      <c r="BE13" s="152"/>
      <c r="BF13" s="152"/>
      <c r="BG13" s="153"/>
      <c r="BH13" s="152"/>
      <c r="BI13" s="153"/>
      <c r="BJ13" s="152"/>
      <c r="BK13" s="152"/>
      <c r="BL13" s="153"/>
      <c r="BM13" s="152"/>
      <c r="BN13" s="153"/>
      <c r="BO13" s="152"/>
      <c r="BP13" s="152"/>
      <c r="BQ13" s="153"/>
      <c r="BR13" s="152"/>
      <c r="BS13" s="153"/>
      <c r="BT13" s="152"/>
      <c r="BU13" s="152"/>
      <c r="BV13" s="153"/>
      <c r="BW13" s="152"/>
      <c r="BX13" s="153"/>
      <c r="BZ13" s="152"/>
      <c r="CA13" s="153"/>
      <c r="CB13" s="152"/>
      <c r="CC13" s="153"/>
      <c r="CE13" s="152"/>
      <c r="CF13" s="153"/>
      <c r="CG13" s="152"/>
      <c r="CH13" s="153"/>
      <c r="CJ13" s="152"/>
      <c r="CK13" s="153"/>
      <c r="CL13" s="152"/>
      <c r="CM13" s="153"/>
      <c r="CO13" s="152"/>
      <c r="CP13" s="153"/>
      <c r="CQ13" s="152"/>
      <c r="CR13" s="153"/>
      <c r="CT13" s="234"/>
      <c r="CU13" s="273"/>
      <c r="CV13" s="234"/>
      <c r="CW13" s="273"/>
      <c r="CY13" s="234">
        <v>256</v>
      </c>
      <c r="CZ13" s="273">
        <v>381</v>
      </c>
      <c r="DA13" s="234">
        <v>355</v>
      </c>
      <c r="DB13" s="273"/>
    </row>
    <row r="14" spans="1:106" x14ac:dyDescent="0.2">
      <c r="A14" s="11" t="s">
        <v>222</v>
      </c>
      <c r="C14" s="152">
        <v>5.9060402684563753</v>
      </c>
      <c r="D14" s="153">
        <v>4.1610738255033555</v>
      </c>
      <c r="E14" s="152">
        <v>3.8926174496644292</v>
      </c>
      <c r="F14" s="153">
        <v>3.7583892617449663</v>
      </c>
      <c r="G14" s="154"/>
      <c r="H14" s="152">
        <v>3.4899328859060401</v>
      </c>
      <c r="I14" s="153">
        <v>1.8791946308724832</v>
      </c>
      <c r="J14" s="152">
        <v>1.8791946308724832</v>
      </c>
      <c r="K14" s="153">
        <v>6.5771812080536911</v>
      </c>
      <c r="L14" s="154"/>
      <c r="M14" s="152">
        <v>4.9664429530201337</v>
      </c>
      <c r="N14" s="153">
        <v>4.0268456375838921</v>
      </c>
      <c r="O14" s="152">
        <v>3.2214765100671139</v>
      </c>
      <c r="P14" s="153">
        <v>2.4161073825503356</v>
      </c>
      <c r="Q14" s="154"/>
      <c r="R14" s="152">
        <v>1.7449664429530201</v>
      </c>
      <c r="S14" s="153">
        <v>0</v>
      </c>
      <c r="T14" s="152">
        <v>0</v>
      </c>
      <c r="U14" s="153">
        <v>0</v>
      </c>
      <c r="V14" s="154"/>
      <c r="W14" s="152">
        <v>0</v>
      </c>
      <c r="X14" s="153">
        <v>0</v>
      </c>
      <c r="Y14" s="152">
        <v>0</v>
      </c>
      <c r="Z14" s="153">
        <v>0</v>
      </c>
      <c r="AA14" s="152"/>
      <c r="AB14" s="152">
        <v>0</v>
      </c>
      <c r="AC14" s="153">
        <v>0</v>
      </c>
      <c r="AD14" s="152">
        <v>0</v>
      </c>
      <c r="AE14" s="153">
        <v>0</v>
      </c>
      <c r="AF14" s="152"/>
      <c r="AG14" s="152">
        <v>0</v>
      </c>
      <c r="AH14" s="153">
        <v>0</v>
      </c>
      <c r="AI14" s="152">
        <v>0</v>
      </c>
      <c r="AJ14" s="153">
        <v>0</v>
      </c>
      <c r="AK14" s="152"/>
      <c r="AL14" s="152">
        <v>0</v>
      </c>
      <c r="AM14" s="153">
        <v>0</v>
      </c>
      <c r="AN14" s="152">
        <v>0</v>
      </c>
      <c r="AO14" s="153">
        <v>0</v>
      </c>
      <c r="AP14" s="152"/>
      <c r="AQ14" s="152"/>
      <c r="AR14" s="153"/>
      <c r="AS14" s="152"/>
      <c r="AT14" s="153"/>
      <c r="AU14" s="152"/>
      <c r="AV14" s="152"/>
      <c r="AW14" s="153"/>
      <c r="AX14" s="152"/>
      <c r="AY14" s="153"/>
      <c r="AZ14" s="152"/>
      <c r="BA14" s="152"/>
      <c r="BB14" s="153"/>
      <c r="BC14" s="152"/>
      <c r="BD14" s="153"/>
      <c r="BE14" s="152"/>
      <c r="BF14" s="152"/>
      <c r="BG14" s="153"/>
      <c r="BH14" s="152"/>
      <c r="BI14" s="153"/>
      <c r="BJ14" s="152"/>
      <c r="BK14" s="152"/>
      <c r="BL14" s="153"/>
      <c r="BM14" s="152"/>
      <c r="BN14" s="153"/>
      <c r="BO14" s="152"/>
      <c r="BP14" s="152"/>
      <c r="BQ14" s="153"/>
      <c r="BR14" s="152"/>
      <c r="BS14" s="153"/>
      <c r="BT14" s="152"/>
      <c r="BU14" s="152"/>
      <c r="BV14" s="153"/>
      <c r="BW14" s="152"/>
      <c r="BX14" s="153"/>
      <c r="BZ14" s="152"/>
      <c r="CA14" s="153"/>
      <c r="CB14" s="152"/>
      <c r="CC14" s="153"/>
      <c r="CE14" s="152"/>
      <c r="CF14" s="153"/>
      <c r="CG14" s="152"/>
      <c r="CH14" s="153"/>
      <c r="CJ14" s="152"/>
      <c r="CK14" s="153"/>
      <c r="CL14" s="152"/>
      <c r="CM14" s="153"/>
      <c r="CO14" s="152"/>
      <c r="CP14" s="153"/>
      <c r="CQ14" s="152"/>
      <c r="CR14" s="153"/>
      <c r="CT14" s="234"/>
      <c r="CU14" s="273"/>
      <c r="CV14" s="234"/>
      <c r="CW14" s="273"/>
      <c r="CY14" s="234"/>
      <c r="CZ14" s="273">
        <v>90</v>
      </c>
      <c r="DA14" s="234">
        <v>120</v>
      </c>
      <c r="DB14" s="273"/>
    </row>
    <row r="15" spans="1:106" x14ac:dyDescent="0.2">
      <c r="A15" s="11" t="s">
        <v>20</v>
      </c>
      <c r="C15" s="152">
        <v>46.442953020134226</v>
      </c>
      <c r="D15" s="153">
        <v>33.825503355704697</v>
      </c>
      <c r="E15" s="152">
        <v>30.604026845637584</v>
      </c>
      <c r="F15" s="153">
        <v>37.449664429530202</v>
      </c>
      <c r="G15" s="154"/>
      <c r="H15" s="152">
        <v>21.879194630872483</v>
      </c>
      <c r="I15" s="153">
        <v>61.208053691275168</v>
      </c>
      <c r="J15" s="152">
        <v>41.073825503355707</v>
      </c>
      <c r="K15" s="153">
        <v>136.51006711409394</v>
      </c>
      <c r="L15" s="154"/>
      <c r="M15" s="152">
        <v>50.335570469798654</v>
      </c>
      <c r="N15" s="153">
        <v>38.523489932885909</v>
      </c>
      <c r="O15" s="152">
        <v>43.758389261744966</v>
      </c>
      <c r="P15" s="153">
        <v>72.348993288590606</v>
      </c>
      <c r="Q15" s="154"/>
      <c r="R15" s="152">
        <v>60.268456375838923</v>
      </c>
      <c r="S15" s="153">
        <v>58.65771812080537</v>
      </c>
      <c r="T15" s="152">
        <v>54.496644295302012</v>
      </c>
      <c r="U15" s="153">
        <v>78.791946308724832</v>
      </c>
      <c r="V15" s="154"/>
      <c r="W15" s="152">
        <v>28.053691275167786</v>
      </c>
      <c r="X15" s="153">
        <v>28.859060402684563</v>
      </c>
      <c r="Y15" s="152">
        <v>28.724832214765101</v>
      </c>
      <c r="Z15" s="153">
        <v>34.09395973154362</v>
      </c>
      <c r="AA15" s="152"/>
      <c r="AB15" s="152">
        <v>27.651006711409394</v>
      </c>
      <c r="AC15" s="153">
        <v>32.483221476510067</v>
      </c>
      <c r="AD15" s="152">
        <v>28.859060402684563</v>
      </c>
      <c r="AE15" s="153">
        <v>33.154362416107382</v>
      </c>
      <c r="AF15" s="152"/>
      <c r="AG15" s="152">
        <v>33.691275167785236</v>
      </c>
      <c r="AH15" s="153">
        <v>33.422818791946305</v>
      </c>
      <c r="AI15" s="152">
        <v>27.651006711409394</v>
      </c>
      <c r="AJ15" s="153">
        <v>36.375838926174495</v>
      </c>
      <c r="AK15" s="152"/>
      <c r="AL15" s="152">
        <v>42.281879194630875</v>
      </c>
      <c r="AM15" s="153">
        <v>32.617449664429529</v>
      </c>
      <c r="AN15" s="152">
        <v>37.583892617449663</v>
      </c>
      <c r="AO15" s="153">
        <v>48.724832214765101</v>
      </c>
      <c r="AP15" s="152"/>
      <c r="AQ15" s="152">
        <v>51.140939597315437</v>
      </c>
      <c r="AR15" s="153">
        <v>52.483221476510067</v>
      </c>
      <c r="AS15" s="152">
        <v>48.053691275167786</v>
      </c>
      <c r="AT15" s="153">
        <v>50.469798657718123</v>
      </c>
      <c r="AU15" s="152"/>
      <c r="AV15" s="152">
        <v>54.630872483221474</v>
      </c>
      <c r="AW15" s="153">
        <v>39.463087248322147</v>
      </c>
      <c r="AX15" s="152">
        <v>41.34228187919463</v>
      </c>
      <c r="AY15" s="153">
        <v>50.201342281879192</v>
      </c>
      <c r="AZ15" s="152"/>
      <c r="BA15" s="152">
        <v>57.04697986577181</v>
      </c>
      <c r="BB15" s="153">
        <v>64.026845637583889</v>
      </c>
      <c r="BC15" s="152">
        <v>37.718120805369125</v>
      </c>
      <c r="BD15" s="153">
        <v>58.3</v>
      </c>
      <c r="BE15" s="152"/>
      <c r="BF15" s="152">
        <v>45</v>
      </c>
      <c r="BG15" s="153">
        <v>31.1</v>
      </c>
      <c r="BH15" s="152">
        <v>22.8</v>
      </c>
      <c r="BI15" s="153">
        <v>127.8</v>
      </c>
      <c r="BJ15" s="152"/>
      <c r="BK15" s="152">
        <v>10.6</v>
      </c>
      <c r="BL15" s="153">
        <v>30.6</v>
      </c>
      <c r="BM15" s="152">
        <v>37.299999999999997</v>
      </c>
      <c r="BN15" s="153">
        <v>44.7</v>
      </c>
      <c r="BO15" s="152"/>
      <c r="BP15" s="152">
        <v>30</v>
      </c>
      <c r="BQ15" s="153">
        <v>11.7</v>
      </c>
      <c r="BR15" s="152">
        <v>9.1999999999999993</v>
      </c>
      <c r="BS15" s="153">
        <v>28.2</v>
      </c>
      <c r="BT15" s="152"/>
      <c r="BU15" s="152">
        <v>7.4</v>
      </c>
      <c r="BV15" s="153">
        <v>9</v>
      </c>
      <c r="BW15" s="152">
        <v>5.9</v>
      </c>
      <c r="BX15" s="153">
        <v>6.9</v>
      </c>
      <c r="BZ15" s="152">
        <v>3.3</v>
      </c>
      <c r="CA15" s="153">
        <v>4.8</v>
      </c>
      <c r="CB15" s="152">
        <v>6.8</v>
      </c>
      <c r="CC15" s="153">
        <v>239.2</v>
      </c>
      <c r="CE15" s="152">
        <v>178.9</v>
      </c>
      <c r="CF15" s="153">
        <v>25.2</v>
      </c>
      <c r="CG15" s="152">
        <v>109.9</v>
      </c>
      <c r="CH15" s="153">
        <v>200.5</v>
      </c>
      <c r="CJ15" s="152">
        <v>118.5</v>
      </c>
      <c r="CK15" s="153">
        <v>196.2</v>
      </c>
      <c r="CL15" s="152">
        <v>117.1</v>
      </c>
      <c r="CM15" s="153">
        <v>258.5</v>
      </c>
      <c r="CO15" s="152">
        <v>144</v>
      </c>
      <c r="CP15" s="153">
        <v>413</v>
      </c>
      <c r="CQ15" s="152">
        <v>863.2</v>
      </c>
      <c r="CR15" s="153">
        <v>887.9</v>
      </c>
      <c r="CT15" s="234">
        <v>858</v>
      </c>
      <c r="CU15" s="273">
        <v>1504</v>
      </c>
      <c r="CV15" s="234">
        <v>1359</v>
      </c>
      <c r="CW15" s="273">
        <v>1518</v>
      </c>
      <c r="CY15" s="234">
        <v>1194</v>
      </c>
      <c r="CZ15" s="273">
        <v>993</v>
      </c>
      <c r="DA15" s="234">
        <v>878</v>
      </c>
      <c r="DB15" s="273"/>
    </row>
    <row r="16" spans="1:106" s="77" customFormat="1" x14ac:dyDescent="0.2">
      <c r="A16" s="77" t="s">
        <v>136</v>
      </c>
      <c r="B16" s="78"/>
      <c r="C16" s="155"/>
      <c r="D16" s="156"/>
      <c r="E16" s="155"/>
      <c r="F16" s="156"/>
      <c r="G16" s="157"/>
      <c r="H16" s="155"/>
      <c r="I16" s="156"/>
      <c r="J16" s="155"/>
      <c r="K16" s="156"/>
      <c r="L16" s="157"/>
      <c r="M16" s="155"/>
      <c r="N16" s="156"/>
      <c r="O16" s="155"/>
      <c r="P16" s="156"/>
      <c r="Q16" s="157"/>
      <c r="R16" s="155"/>
      <c r="S16" s="156"/>
      <c r="T16" s="155"/>
      <c r="U16" s="156"/>
      <c r="V16" s="157"/>
      <c r="W16" s="155"/>
      <c r="X16" s="156"/>
      <c r="Y16" s="155"/>
      <c r="Z16" s="156"/>
      <c r="AA16" s="155"/>
      <c r="AB16" s="155"/>
      <c r="AC16" s="156"/>
      <c r="AD16" s="155"/>
      <c r="AE16" s="156"/>
      <c r="AF16" s="155"/>
      <c r="AG16" s="155"/>
      <c r="AH16" s="156"/>
      <c r="AI16" s="155"/>
      <c r="AJ16" s="156"/>
      <c r="AK16" s="155"/>
      <c r="AL16" s="155"/>
      <c r="AM16" s="156"/>
      <c r="AN16" s="155"/>
      <c r="AO16" s="156"/>
      <c r="AP16" s="155"/>
      <c r="AQ16" s="155"/>
      <c r="AR16" s="156"/>
      <c r="AS16" s="155"/>
      <c r="AT16" s="156"/>
      <c r="AU16" s="155"/>
      <c r="AV16" s="155"/>
      <c r="AW16" s="156"/>
      <c r="AX16" s="155"/>
      <c r="AY16" s="156"/>
      <c r="AZ16" s="155"/>
      <c r="BA16" s="155"/>
      <c r="BB16" s="156"/>
      <c r="BC16" s="155"/>
      <c r="BD16" s="156"/>
      <c r="BE16" s="155"/>
      <c r="BF16" s="155"/>
      <c r="BG16" s="156"/>
      <c r="BH16" s="155">
        <v>111.6</v>
      </c>
      <c r="BI16" s="156">
        <f>52.7+833</f>
        <v>885.7</v>
      </c>
      <c r="BJ16" s="155"/>
      <c r="BK16" s="155">
        <f>51.5+857.1</f>
        <v>908.6</v>
      </c>
      <c r="BL16" s="156">
        <v>851.5</v>
      </c>
      <c r="BM16" s="155">
        <v>840.6</v>
      </c>
      <c r="BN16" s="156">
        <v>0</v>
      </c>
      <c r="BO16" s="155"/>
      <c r="BP16" s="155"/>
      <c r="BQ16" s="156"/>
      <c r="BR16" s="155"/>
      <c r="BS16" s="156"/>
      <c r="BT16" s="155"/>
      <c r="BU16" s="155"/>
      <c r="BV16" s="156"/>
      <c r="BW16" s="155"/>
      <c r="BX16" s="156"/>
      <c r="BZ16" s="155"/>
      <c r="CA16" s="156"/>
      <c r="CB16" s="155"/>
      <c r="CC16" s="156"/>
      <c r="CE16" s="155"/>
      <c r="CF16" s="156"/>
      <c r="CG16" s="155"/>
      <c r="CH16" s="156"/>
      <c r="CJ16" s="155"/>
      <c r="CK16" s="156">
        <v>135.69999999999999</v>
      </c>
      <c r="CL16" s="155">
        <v>147.30000000000001</v>
      </c>
      <c r="CM16" s="156">
        <v>164.1</v>
      </c>
      <c r="CO16" s="155">
        <v>161.1</v>
      </c>
      <c r="CP16" s="156">
        <v>168</v>
      </c>
      <c r="CQ16" s="155">
        <v>170.6</v>
      </c>
      <c r="CR16" s="156">
        <v>177.4</v>
      </c>
      <c r="CT16" s="235">
        <v>175</v>
      </c>
      <c r="CU16" s="274">
        <v>0</v>
      </c>
      <c r="CV16" s="155">
        <v>0</v>
      </c>
      <c r="CW16" s="274">
        <v>0</v>
      </c>
      <c r="CY16" s="235">
        <v>0</v>
      </c>
      <c r="CZ16" s="274">
        <v>0</v>
      </c>
      <c r="DA16" s="155"/>
      <c r="DB16" s="274"/>
    </row>
    <row r="17" spans="1:106" s="81" customFormat="1" x14ac:dyDescent="0.2">
      <c r="A17" s="81" t="s">
        <v>21</v>
      </c>
      <c r="B17" s="82"/>
      <c r="C17" s="161">
        <f>SUM(C11:C15)</f>
        <v>502.41610738255031</v>
      </c>
      <c r="D17" s="162">
        <f>SUM(D11:D15)</f>
        <v>513.02013422818789</v>
      </c>
      <c r="E17" s="161">
        <f>SUM(E11:E15)</f>
        <v>520.40268456375838</v>
      </c>
      <c r="F17" s="162">
        <f>SUM(F11:F15)</f>
        <v>532.34899328859058</v>
      </c>
      <c r="G17" s="163"/>
      <c r="H17" s="161">
        <f>SUM(H11:H15)</f>
        <v>562.55033557046977</v>
      </c>
      <c r="I17" s="162">
        <f>SUM(I11:I15)</f>
        <v>638.38926174496646</v>
      </c>
      <c r="J17" s="161">
        <f>SUM(J11:J15)</f>
        <v>633.42281879194627</v>
      </c>
      <c r="K17" s="162">
        <f>SUM(K11:K15)</f>
        <v>693.28859060402692</v>
      </c>
      <c r="L17" s="163"/>
      <c r="M17" s="161">
        <f>SUM(M11:M15)</f>
        <v>700.80536912751666</v>
      </c>
      <c r="N17" s="162">
        <f>SUM(N11:N15)</f>
        <v>762.14765100671138</v>
      </c>
      <c r="O17" s="161">
        <f>SUM(O11:O15)</f>
        <v>779.99999999999989</v>
      </c>
      <c r="P17" s="162">
        <f>SUM(P11:P15)</f>
        <v>760.13422818791935</v>
      </c>
      <c r="Q17" s="163"/>
      <c r="R17" s="161">
        <f>SUM(R11:R15)</f>
        <v>812.34899328859058</v>
      </c>
      <c r="S17" s="162">
        <f>SUM(S11:S15)</f>
        <v>845.90604026845631</v>
      </c>
      <c r="T17" s="161">
        <f>SUM(T11:T15)</f>
        <v>822.95302013422804</v>
      </c>
      <c r="U17" s="162">
        <f>SUM(U11:U15)</f>
        <v>753.42281879194638</v>
      </c>
      <c r="V17" s="163"/>
      <c r="W17" s="161">
        <f>SUM(W11:W15)</f>
        <v>700.80536912751677</v>
      </c>
      <c r="X17" s="162">
        <f>SUM(X11:X15)</f>
        <v>688.99328859060404</v>
      </c>
      <c r="Y17" s="161">
        <f>SUM(Y11:Y15)</f>
        <v>686.04026845637588</v>
      </c>
      <c r="Z17" s="162">
        <f>SUM(Z11:Z15)</f>
        <v>664.69798657718115</v>
      </c>
      <c r="AA17" s="161"/>
      <c r="AB17" s="161">
        <f>SUM(AB11:AB15)</f>
        <v>754.89932885906035</v>
      </c>
      <c r="AC17" s="162">
        <f>SUM(AC11:AC15)</f>
        <v>861.47651006711396</v>
      </c>
      <c r="AD17" s="161">
        <f>SUM(AD11:AD15)</f>
        <v>895.83892617449658</v>
      </c>
      <c r="AE17" s="162">
        <f>SUM(AE11:AE15)</f>
        <v>884.83221476510062</v>
      </c>
      <c r="AF17" s="161"/>
      <c r="AG17" s="161">
        <f>SUM(AG11:AG15)</f>
        <v>1026.3087248322147</v>
      </c>
      <c r="AH17" s="162">
        <f>SUM(AH11:AH15)</f>
        <v>1002.0134228187918</v>
      </c>
      <c r="AI17" s="161">
        <f>SUM(AI11:AI15)</f>
        <v>984.56375838926181</v>
      </c>
      <c r="AJ17" s="162">
        <f>SUM(AJ11:AJ15)</f>
        <v>928.99328859060404</v>
      </c>
      <c r="AK17" s="161"/>
      <c r="AL17" s="161">
        <f>SUM(AL11:AL15)</f>
        <v>978.65771812080538</v>
      </c>
      <c r="AM17" s="162">
        <f>SUM(AM11:AM15)</f>
        <v>996.77852348993281</v>
      </c>
      <c r="AN17" s="161">
        <f>SUM(AN11:AN15)</f>
        <v>978.65771812080538</v>
      </c>
      <c r="AO17" s="162">
        <f>SUM(AO11:AO15)</f>
        <v>925.77181208053696</v>
      </c>
      <c r="AP17" s="161"/>
      <c r="AQ17" s="161">
        <f>SUM(AQ11:AQ15)</f>
        <v>1019.5973154362415</v>
      </c>
      <c r="AR17" s="162">
        <f>SUM(AR11:AR15)</f>
        <v>988.99328859060404</v>
      </c>
      <c r="AS17" s="161">
        <f>SUM(AS11:AS15)</f>
        <v>1024.1610738255033</v>
      </c>
      <c r="AT17" s="162">
        <f>SUM(AT11:AT15)</f>
        <v>951.27516778523488</v>
      </c>
      <c r="AU17" s="161"/>
      <c r="AV17" s="161">
        <f>SUM(AV11:AV15)</f>
        <v>987.51677852348985</v>
      </c>
      <c r="AW17" s="162">
        <f>SUM(AW11:AW15)</f>
        <v>966.71140939597308</v>
      </c>
      <c r="AX17" s="161">
        <f>SUM(AX11:AX15)</f>
        <v>996.64429530201346</v>
      </c>
      <c r="AY17" s="162">
        <f>SUM(AY11:AY15)</f>
        <v>854.89932885906035</v>
      </c>
      <c r="AZ17" s="161"/>
      <c r="BA17" s="161">
        <f>SUM(BA11:BA15)</f>
        <v>1034.2281879194629</v>
      </c>
      <c r="BB17" s="162">
        <f>SUM(BB11:BB15)</f>
        <v>1084.8322147651006</v>
      </c>
      <c r="BC17" s="161">
        <f>SUM(BC11:BC15)</f>
        <v>964.69798657718127</v>
      </c>
      <c r="BD17" s="162">
        <f>SUM(BD11:BD15)</f>
        <v>896.59999999999991</v>
      </c>
      <c r="BE17" s="161"/>
      <c r="BF17" s="161">
        <f>SUM(BF11:BF16)</f>
        <v>917.1</v>
      </c>
      <c r="BG17" s="162">
        <f>SUM(BG11:BG16)</f>
        <v>968.6</v>
      </c>
      <c r="BH17" s="161">
        <f>SUM(BH11:BH16)</f>
        <v>943.6</v>
      </c>
      <c r="BI17" s="162">
        <f>SUM(BI11:BI16)</f>
        <v>1364.8</v>
      </c>
      <c r="BJ17" s="161"/>
      <c r="BK17" s="161">
        <f>SUM(BK11:BK16)</f>
        <v>1435.4</v>
      </c>
      <c r="BL17" s="162">
        <f>SUM(BL11:BL16)</f>
        <v>1464.5</v>
      </c>
      <c r="BM17" s="161">
        <f>SUM(BM11:BM16)</f>
        <v>1429.6999999999998</v>
      </c>
      <c r="BN17" s="162">
        <f>SUM(BN11:BN16)</f>
        <v>556.40000000000009</v>
      </c>
      <c r="BO17" s="161"/>
      <c r="BP17" s="161">
        <f>SUM(BP11:BP16)</f>
        <v>617.20000000000005</v>
      </c>
      <c r="BQ17" s="162">
        <f>SUM(BQ11:BQ16)</f>
        <v>640.5</v>
      </c>
      <c r="BR17" s="161">
        <f>SUM(BR11:BR16)</f>
        <v>643.80000000000007</v>
      </c>
      <c r="BS17" s="162">
        <f>SUM(BS11:BS16)</f>
        <v>595.10000000000014</v>
      </c>
      <c r="BT17" s="161"/>
      <c r="BU17" s="161">
        <f>SUM(BU11:BU16)</f>
        <v>585.79999999999995</v>
      </c>
      <c r="BV17" s="162">
        <f>SUM(BV11:BV16)</f>
        <v>620.70000000000005</v>
      </c>
      <c r="BW17" s="161">
        <f>SUM(BW11:BW16)</f>
        <v>632</v>
      </c>
      <c r="BX17" s="162">
        <f>SUM(BX11:BX16)</f>
        <v>502.4</v>
      </c>
      <c r="BZ17" s="161">
        <f>SUM(BZ11:BZ16)</f>
        <v>555.19999999999993</v>
      </c>
      <c r="CA17" s="162">
        <f>SUM(CA11:CA16)</f>
        <v>621.79999999999995</v>
      </c>
      <c r="CB17" s="161">
        <f>SUM(CB11:CB16)</f>
        <v>749</v>
      </c>
      <c r="CC17" s="162">
        <f>SUM(CC11:CC16)</f>
        <v>842</v>
      </c>
      <c r="CE17" s="161">
        <f>SUM(CE11:CE16)</f>
        <v>929.6</v>
      </c>
      <c r="CF17" s="162">
        <f>SUM(CF11:CF16)</f>
        <v>1043.3</v>
      </c>
      <c r="CG17" s="161">
        <f>SUM(CG11:CG16)</f>
        <v>1028.2</v>
      </c>
      <c r="CH17" s="162">
        <f>SUM(CH11:CH16)</f>
        <v>1123.0999999999999</v>
      </c>
      <c r="CJ17" s="161">
        <f>SUM(CJ11:CJ16)</f>
        <v>1220.5999999999999</v>
      </c>
      <c r="CK17" s="162">
        <f>SUM(CK11:CK16)</f>
        <v>1252.8000000000002</v>
      </c>
      <c r="CL17" s="161">
        <f>SUM(CL11:CL16)</f>
        <v>1226.3999999999999</v>
      </c>
      <c r="CM17" s="162">
        <f>SUM(CM11:CM16)</f>
        <v>1381.6999999999998</v>
      </c>
      <c r="CO17" s="161">
        <f>SUM(CO11:CO16)</f>
        <v>1390.6</v>
      </c>
      <c r="CP17" s="162">
        <f>+SUM(CP11:CP16)</f>
        <v>1670.3</v>
      </c>
      <c r="CQ17" s="161">
        <f>SUM(CQ11:CQ16)</f>
        <v>2147.4</v>
      </c>
      <c r="CR17" s="162">
        <f>+SUM(CR11:CR16)</f>
        <v>2023.5</v>
      </c>
      <c r="CT17" s="237">
        <f>SUM(CT11:CT16)</f>
        <v>2122</v>
      </c>
      <c r="CU17" s="276">
        <f>+SUM(CU11:CU16)</f>
        <v>2762</v>
      </c>
      <c r="CV17" s="237">
        <f>SUM(CV11:CV16)</f>
        <v>2555</v>
      </c>
      <c r="CW17" s="276">
        <f>+CW11+CW12+CW15+CW16</f>
        <v>2676</v>
      </c>
      <c r="CY17" s="237">
        <f>SUM(CY11:CY16)</f>
        <v>2501</v>
      </c>
      <c r="CZ17" s="276">
        <f>+SUM(CZ11:CZ16)</f>
        <v>2433</v>
      </c>
      <c r="DA17" s="237">
        <f>SUM(DA11:DA16)</f>
        <v>2349</v>
      </c>
      <c r="DB17" s="276"/>
    </row>
    <row r="18" spans="1:106" s="77" customFormat="1" x14ac:dyDescent="0.2">
      <c r="B18" s="78"/>
      <c r="C18" s="155"/>
      <c r="D18" s="156"/>
      <c r="E18" s="155"/>
      <c r="F18" s="156"/>
      <c r="G18" s="157"/>
      <c r="H18" s="155"/>
      <c r="I18" s="156"/>
      <c r="J18" s="155"/>
      <c r="K18" s="156"/>
      <c r="L18" s="157"/>
      <c r="M18" s="155"/>
      <c r="N18" s="156"/>
      <c r="O18" s="155"/>
      <c r="P18" s="156"/>
      <c r="Q18" s="157"/>
      <c r="R18" s="155"/>
      <c r="S18" s="156"/>
      <c r="T18" s="155"/>
      <c r="U18" s="156"/>
      <c r="V18" s="157"/>
      <c r="W18" s="155"/>
      <c r="X18" s="156"/>
      <c r="Y18" s="155"/>
      <c r="Z18" s="156"/>
      <c r="AA18" s="155"/>
      <c r="AB18" s="155"/>
      <c r="AC18" s="156"/>
      <c r="AD18" s="155"/>
      <c r="AE18" s="156"/>
      <c r="AF18" s="155"/>
      <c r="AG18" s="155"/>
      <c r="AH18" s="156"/>
      <c r="AI18" s="155"/>
      <c r="AJ18" s="156"/>
      <c r="AK18" s="155"/>
      <c r="AL18" s="155"/>
      <c r="AM18" s="156"/>
      <c r="AN18" s="155"/>
      <c r="AO18" s="156"/>
      <c r="AP18" s="155"/>
      <c r="AQ18" s="155"/>
      <c r="AR18" s="156"/>
      <c r="AS18" s="155"/>
      <c r="AT18" s="156"/>
      <c r="AU18" s="155"/>
      <c r="AV18" s="155"/>
      <c r="AW18" s="156"/>
      <c r="AX18" s="155"/>
      <c r="AY18" s="156"/>
      <c r="AZ18" s="155"/>
      <c r="BA18" s="155"/>
      <c r="BB18" s="156"/>
      <c r="BC18" s="155"/>
      <c r="BD18" s="156"/>
      <c r="BE18" s="155"/>
      <c r="BF18" s="155"/>
      <c r="BG18" s="156"/>
      <c r="BH18" s="155"/>
      <c r="BI18" s="156"/>
      <c r="BJ18" s="155"/>
      <c r="BK18" s="155"/>
      <c r="BL18" s="156"/>
      <c r="BM18" s="155"/>
      <c r="BN18" s="156"/>
      <c r="BO18" s="155"/>
      <c r="BP18" s="155"/>
      <c r="BQ18" s="156"/>
      <c r="BR18" s="155"/>
      <c r="BS18" s="156"/>
      <c r="BT18" s="155"/>
      <c r="BU18" s="155"/>
      <c r="BV18" s="156"/>
      <c r="BW18" s="155"/>
      <c r="BX18" s="156"/>
      <c r="BZ18" s="155"/>
      <c r="CA18" s="156"/>
      <c r="CB18" s="155"/>
      <c r="CC18" s="156"/>
      <c r="CE18" s="155"/>
      <c r="CF18" s="156"/>
      <c r="CG18" s="155"/>
      <c r="CH18" s="156"/>
      <c r="CJ18" s="155"/>
      <c r="CK18" s="156"/>
      <c r="CL18" s="155"/>
      <c r="CM18" s="156"/>
      <c r="CO18" s="155"/>
      <c r="CP18" s="156"/>
      <c r="CQ18" s="155"/>
      <c r="CR18" s="156"/>
      <c r="CT18" s="235"/>
      <c r="CU18" s="274"/>
      <c r="CV18" s="155"/>
      <c r="CW18" s="156"/>
      <c r="CY18" s="235"/>
      <c r="CZ18" s="274"/>
      <c r="DA18" s="155"/>
      <c r="DB18" s="156"/>
    </row>
    <row r="19" spans="1:106" s="79" customFormat="1" x14ac:dyDescent="0.2">
      <c r="A19" s="79" t="s">
        <v>22</v>
      </c>
      <c r="B19" s="80"/>
      <c r="C19" s="158">
        <f>C17+C9</f>
        <v>794.89932885906035</v>
      </c>
      <c r="D19" s="159">
        <f>D17+D9</f>
        <v>809.53020134228188</v>
      </c>
      <c r="E19" s="158">
        <f>E17+E9</f>
        <v>819.06040268456377</v>
      </c>
      <c r="F19" s="159">
        <f>F17+F9</f>
        <v>829.12751677852339</v>
      </c>
      <c r="G19" s="160"/>
      <c r="H19" s="158">
        <f>H17+H9</f>
        <v>866.71140939597308</v>
      </c>
      <c r="I19" s="159">
        <f>I17+I9</f>
        <v>928.32214765100673</v>
      </c>
      <c r="J19" s="158">
        <f>J17+J9</f>
        <v>924.83221476510062</v>
      </c>
      <c r="K19" s="159">
        <f>K17+K9</f>
        <v>986.57718120805384</v>
      </c>
      <c r="L19" s="160"/>
      <c r="M19" s="158">
        <f>M17+M9</f>
        <v>1072.4832214765099</v>
      </c>
      <c r="N19" s="159">
        <f>N17+N9</f>
        <v>1152.7516778523491</v>
      </c>
      <c r="O19" s="158">
        <f>O17+O9</f>
        <v>1229.6644295302012</v>
      </c>
      <c r="P19" s="159">
        <f>P17+P9</f>
        <v>1221.3422818791946</v>
      </c>
      <c r="Q19" s="160"/>
      <c r="R19" s="158">
        <f>R17+R9</f>
        <v>1295.9731543624162</v>
      </c>
      <c r="S19" s="159">
        <f>S17+S9</f>
        <v>1373.2885906040269</v>
      </c>
      <c r="T19" s="158">
        <f>T17+T9</f>
        <v>1383.7583892617449</v>
      </c>
      <c r="U19" s="159">
        <f>U17+U9</f>
        <v>1333.5570469798658</v>
      </c>
      <c r="V19" s="160"/>
      <c r="W19" s="158">
        <f>W17+W9</f>
        <v>1306.7114093959731</v>
      </c>
      <c r="X19" s="159">
        <f>X17+X9</f>
        <v>1327.3825503355706</v>
      </c>
      <c r="Y19" s="158">
        <f>Y17+Y9</f>
        <v>1354.7651006711408</v>
      </c>
      <c r="Z19" s="159">
        <f>Z17+Z9</f>
        <v>1358.9261744966443</v>
      </c>
      <c r="AA19" s="158"/>
      <c r="AB19" s="158">
        <f>AB17+AB9</f>
        <v>1498.1208053691275</v>
      </c>
      <c r="AC19" s="159">
        <f>AC17+AC9</f>
        <v>1628.7248322147648</v>
      </c>
      <c r="AD19" s="158">
        <f>AD17+AD9</f>
        <v>1658.1208053691275</v>
      </c>
      <c r="AE19" s="159">
        <f>AE17+AE9</f>
        <v>1685.3691275167785</v>
      </c>
      <c r="AF19" s="158"/>
      <c r="AG19" s="158">
        <f>AG17+AG9</f>
        <v>1833.5570469798658</v>
      </c>
      <c r="AH19" s="159">
        <f>AH17+AH9</f>
        <v>1816.1073825503354</v>
      </c>
      <c r="AI19" s="158">
        <f>AI17+AI9</f>
        <v>1826.4429530201342</v>
      </c>
      <c r="AJ19" s="159">
        <f>AJ17+AJ9</f>
        <v>1803.8926174496644</v>
      </c>
      <c r="AK19" s="158"/>
      <c r="AL19" s="158">
        <f>AL17+AL9</f>
        <v>1771.8120805369126</v>
      </c>
      <c r="AM19" s="159">
        <f>AM17+AM9</f>
        <v>1796.6442953020132</v>
      </c>
      <c r="AN19" s="158">
        <f>AN17+AN9</f>
        <v>1772.8859060402683</v>
      </c>
      <c r="AO19" s="159">
        <f>AO17+AO9</f>
        <v>1736.3758389261743</v>
      </c>
      <c r="AP19" s="158"/>
      <c r="AQ19" s="158">
        <f>AQ17+AQ9</f>
        <v>1833.6912751677851</v>
      </c>
      <c r="AR19" s="159">
        <f>AR17+AR9</f>
        <v>1791.2751677852348</v>
      </c>
      <c r="AS19" s="158">
        <f>AS17+AS9</f>
        <v>1816.6442953020135</v>
      </c>
      <c r="AT19" s="159">
        <f>AT17+AT9</f>
        <v>1744.2953020134228</v>
      </c>
      <c r="AU19" s="158"/>
      <c r="AV19" s="158">
        <f>AV17+AV9</f>
        <v>1763.489932885906</v>
      </c>
      <c r="AW19" s="159">
        <f>AW17+AW9</f>
        <v>1751.8120805369126</v>
      </c>
      <c r="AX19" s="158">
        <f>AX17+AX9</f>
        <v>1802.9530201342282</v>
      </c>
      <c r="AY19" s="159">
        <f>AY17+AY9</f>
        <v>1656.1073825503354</v>
      </c>
      <c r="AZ19" s="158"/>
      <c r="BA19" s="158">
        <f>BA17+BA9</f>
        <v>1851.4093959731542</v>
      </c>
      <c r="BB19" s="159">
        <f>BB17+BB9</f>
        <v>1860.6711409395971</v>
      </c>
      <c r="BC19" s="158">
        <f>BC17+BC9</f>
        <v>1735.8389261744967</v>
      </c>
      <c r="BD19" s="159">
        <f>BD17+BD9</f>
        <v>1683.6</v>
      </c>
      <c r="BE19" s="158"/>
      <c r="BF19" s="158">
        <f>BF17+BF9</f>
        <v>1736.4</v>
      </c>
      <c r="BG19" s="159">
        <f>BG17+BG9</f>
        <v>1787.1999999999998</v>
      </c>
      <c r="BH19" s="158">
        <f>BH17+BH9</f>
        <v>1728.6</v>
      </c>
      <c r="BI19" s="159">
        <f>BI17+BI9</f>
        <v>1747.1</v>
      </c>
      <c r="BJ19" s="158"/>
      <c r="BK19" s="158">
        <f>BK17+BK9</f>
        <v>2682.4</v>
      </c>
      <c r="BL19" s="159">
        <f>BL17+BL9</f>
        <v>2809</v>
      </c>
      <c r="BM19" s="158">
        <f>BM17+BM9</f>
        <v>2785.5</v>
      </c>
      <c r="BN19" s="159">
        <f>BN17+BN9</f>
        <v>1904.6000000000001</v>
      </c>
      <c r="BO19" s="158"/>
      <c r="BP19" s="158">
        <f>BP17+BP9</f>
        <v>1923.3000000000002</v>
      </c>
      <c r="BQ19" s="159">
        <f>BQ17+BQ9</f>
        <v>1926.3999999999999</v>
      </c>
      <c r="BR19" s="158">
        <f>BR17+BR9</f>
        <v>1938</v>
      </c>
      <c r="BS19" s="159">
        <f>BS17+BS9</f>
        <v>1859.2000000000003</v>
      </c>
      <c r="BT19" s="158"/>
      <c r="BU19" s="158">
        <f>BU17+BU9</f>
        <v>1867.8</v>
      </c>
      <c r="BV19" s="159">
        <f>BV17+BV9</f>
        <v>1895.8999999999999</v>
      </c>
      <c r="BW19" s="158">
        <f>BW17+BW9</f>
        <v>1886.3000000000002</v>
      </c>
      <c r="BX19" s="159">
        <f>BX17+BX9</f>
        <v>1789.4</v>
      </c>
      <c r="BZ19" s="158">
        <f>BZ17+BZ9</f>
        <v>1795.7999999999997</v>
      </c>
      <c r="CA19" s="159">
        <f>CA17+CA9</f>
        <v>1901.8</v>
      </c>
      <c r="CB19" s="158">
        <f>CB17+CB9</f>
        <v>2019.1</v>
      </c>
      <c r="CC19" s="159">
        <f>CC17+CC9</f>
        <v>2150.6</v>
      </c>
      <c r="CE19" s="158">
        <f>CE17+CE9</f>
        <v>2245.5</v>
      </c>
      <c r="CF19" s="159">
        <f>CF17+CF9</f>
        <v>2405</v>
      </c>
      <c r="CG19" s="158">
        <f>CG17+CG9</f>
        <v>2397.1000000000004</v>
      </c>
      <c r="CH19" s="159">
        <f>CH17+CH9</f>
        <v>2553.3999999999996</v>
      </c>
      <c r="CJ19" s="158">
        <f>CJ17+CJ9</f>
        <v>2677.3999999999996</v>
      </c>
      <c r="CK19" s="159">
        <f>CK17+CK9</f>
        <v>2628.1000000000004</v>
      </c>
      <c r="CL19" s="158">
        <f>CL17+CL9</f>
        <v>2597.3000000000002</v>
      </c>
      <c r="CM19" s="159">
        <f>CM17+CM9</f>
        <v>2767.3999999999996</v>
      </c>
      <c r="CO19" s="158">
        <f>CO17+CO9</f>
        <v>2766.5</v>
      </c>
      <c r="CP19" s="159">
        <f>+CP9+CP17</f>
        <v>3044.3</v>
      </c>
      <c r="CQ19" s="158">
        <f>CQ17+CQ9</f>
        <v>3562.1000000000004</v>
      </c>
      <c r="CR19" s="159">
        <f>+CR9+CR17</f>
        <v>3604</v>
      </c>
      <c r="CT19" s="236">
        <f>CT17+CT9</f>
        <v>3707</v>
      </c>
      <c r="CU19" s="275">
        <f>+CU9+CU17</f>
        <v>4597</v>
      </c>
      <c r="CV19" s="236">
        <f>CV17+CV9</f>
        <v>4486</v>
      </c>
      <c r="CW19" s="275">
        <f>+CW17+CW9</f>
        <v>4859</v>
      </c>
      <c r="CY19" s="236">
        <f>CY17+CY9</f>
        <v>4930</v>
      </c>
      <c r="CZ19" s="275">
        <f>+CZ17+CZ9</f>
        <v>4938</v>
      </c>
      <c r="DA19" s="236">
        <f>DA17+DA9</f>
        <v>5001</v>
      </c>
      <c r="DB19" s="275"/>
    </row>
    <row r="20" spans="1:106" x14ac:dyDescent="0.2">
      <c r="C20" s="152"/>
      <c r="D20" s="153"/>
      <c r="E20" s="152"/>
      <c r="F20" s="153"/>
      <c r="G20" s="154"/>
      <c r="H20" s="152"/>
      <c r="I20" s="153"/>
      <c r="J20" s="152"/>
      <c r="K20" s="153"/>
      <c r="L20" s="154"/>
      <c r="M20" s="152"/>
      <c r="N20" s="153"/>
      <c r="O20" s="152"/>
      <c r="P20" s="153"/>
      <c r="Q20" s="154"/>
      <c r="R20" s="152"/>
      <c r="S20" s="153"/>
      <c r="T20" s="152"/>
      <c r="U20" s="153"/>
      <c r="V20" s="154"/>
      <c r="W20" s="152"/>
      <c r="X20" s="153"/>
      <c r="Y20" s="152"/>
      <c r="Z20" s="153"/>
      <c r="AA20" s="152"/>
      <c r="AB20" s="152"/>
      <c r="AC20" s="153"/>
      <c r="AD20" s="152"/>
      <c r="AE20" s="153"/>
      <c r="AF20" s="152"/>
      <c r="AG20" s="152"/>
      <c r="AH20" s="153"/>
      <c r="AI20" s="152"/>
      <c r="AJ20" s="153"/>
      <c r="AK20" s="152"/>
      <c r="AL20" s="152"/>
      <c r="AM20" s="153"/>
      <c r="AN20" s="152"/>
      <c r="AO20" s="153"/>
      <c r="AP20" s="152"/>
      <c r="AQ20" s="152"/>
      <c r="AR20" s="153"/>
      <c r="AS20" s="152"/>
      <c r="AT20" s="153"/>
      <c r="AU20" s="152"/>
      <c r="AV20" s="152"/>
      <c r="AW20" s="153"/>
      <c r="AX20" s="152"/>
      <c r="AY20" s="153"/>
      <c r="AZ20" s="152"/>
      <c r="BA20" s="152"/>
      <c r="BB20" s="153"/>
      <c r="BC20" s="152"/>
      <c r="BD20" s="153"/>
      <c r="BE20" s="152"/>
      <c r="BF20" s="152"/>
      <c r="BG20" s="153"/>
      <c r="BH20" s="152"/>
      <c r="BI20" s="153"/>
      <c r="BJ20" s="152"/>
      <c r="BK20" s="152"/>
      <c r="BL20" s="153"/>
      <c r="BM20" s="152"/>
      <c r="BN20" s="153"/>
      <c r="BO20" s="152"/>
      <c r="BP20" s="152"/>
      <c r="BQ20" s="153"/>
      <c r="BR20" s="152"/>
      <c r="BS20" s="153"/>
      <c r="BT20" s="152"/>
      <c r="BU20" s="152"/>
      <c r="BV20" s="153"/>
      <c r="BW20" s="152"/>
      <c r="BX20" s="153"/>
      <c r="BZ20" s="152"/>
      <c r="CA20" s="153"/>
      <c r="CB20" s="152"/>
      <c r="CC20" s="153"/>
      <c r="CE20" s="152"/>
      <c r="CF20" s="153"/>
      <c r="CG20" s="152"/>
      <c r="CH20" s="153"/>
      <c r="CJ20" s="152"/>
      <c r="CK20" s="153"/>
      <c r="CL20" s="152"/>
      <c r="CM20" s="153"/>
      <c r="CO20" s="152"/>
      <c r="CP20" s="153"/>
      <c r="CQ20" s="152"/>
      <c r="CR20" s="153"/>
      <c r="CT20" s="234"/>
      <c r="CU20" s="273"/>
      <c r="CV20" s="152"/>
      <c r="CW20" s="153"/>
      <c r="CY20" s="234"/>
      <c r="CZ20" s="273"/>
      <c r="DA20" s="152"/>
      <c r="DB20" s="153"/>
    </row>
    <row r="21" spans="1:106" x14ac:dyDescent="0.2">
      <c r="A21" s="74" t="s">
        <v>18</v>
      </c>
      <c r="C21" s="152"/>
      <c r="D21" s="153"/>
      <c r="E21" s="152"/>
      <c r="F21" s="153"/>
      <c r="G21" s="154"/>
      <c r="H21" s="152"/>
      <c r="I21" s="153"/>
      <c r="J21" s="152"/>
      <c r="K21" s="153"/>
      <c r="L21" s="154"/>
      <c r="M21" s="152"/>
      <c r="N21" s="153"/>
      <c r="O21" s="152"/>
      <c r="P21" s="153"/>
      <c r="Q21" s="154"/>
      <c r="R21" s="152"/>
      <c r="S21" s="153"/>
      <c r="T21" s="152"/>
      <c r="U21" s="153"/>
      <c r="V21" s="154"/>
      <c r="W21" s="152"/>
      <c r="X21" s="153"/>
      <c r="Y21" s="152"/>
      <c r="Z21" s="153"/>
      <c r="AA21" s="152"/>
      <c r="AB21" s="152"/>
      <c r="AC21" s="153"/>
      <c r="AD21" s="152"/>
      <c r="AE21" s="153"/>
      <c r="AF21" s="152"/>
      <c r="AG21" s="152"/>
      <c r="AH21" s="153"/>
      <c r="AI21" s="152"/>
      <c r="AJ21" s="153"/>
      <c r="AK21" s="152"/>
      <c r="AL21" s="152"/>
      <c r="AM21" s="153"/>
      <c r="AN21" s="152"/>
      <c r="AO21" s="153"/>
      <c r="AP21" s="152"/>
      <c r="AQ21" s="152"/>
      <c r="AR21" s="153"/>
      <c r="AS21" s="152"/>
      <c r="AT21" s="153"/>
      <c r="AU21" s="152"/>
      <c r="AV21" s="152"/>
      <c r="AW21" s="153"/>
      <c r="AX21" s="152"/>
      <c r="AY21" s="153"/>
      <c r="AZ21" s="152"/>
      <c r="BA21" s="152"/>
      <c r="BB21" s="153"/>
      <c r="BC21" s="152"/>
      <c r="BD21" s="153"/>
      <c r="BE21" s="152"/>
      <c r="BF21" s="152"/>
      <c r="BG21" s="153"/>
      <c r="BH21" s="152"/>
      <c r="BI21" s="153"/>
      <c r="BJ21" s="152"/>
      <c r="BK21" s="152"/>
      <c r="BL21" s="153"/>
      <c r="BM21" s="152"/>
      <c r="BN21" s="153"/>
      <c r="BO21" s="152"/>
      <c r="BP21" s="152"/>
      <c r="BQ21" s="153"/>
      <c r="BR21" s="152"/>
      <c r="BS21" s="153"/>
      <c r="BT21" s="152"/>
      <c r="BU21" s="152"/>
      <c r="BV21" s="153"/>
      <c r="BW21" s="152"/>
      <c r="BX21" s="153"/>
      <c r="BZ21" s="152"/>
      <c r="CA21" s="153"/>
      <c r="CB21" s="152"/>
      <c r="CC21" s="153"/>
      <c r="CE21" s="152"/>
      <c r="CF21" s="153"/>
      <c r="CG21" s="152"/>
      <c r="CH21" s="153"/>
      <c r="CJ21" s="152"/>
      <c r="CK21" s="153"/>
      <c r="CL21" s="152"/>
      <c r="CM21" s="153"/>
      <c r="CO21" s="152"/>
      <c r="CP21" s="153"/>
      <c r="CQ21" s="152"/>
      <c r="CR21" s="153"/>
      <c r="CT21" s="234"/>
      <c r="CU21" s="273"/>
      <c r="CV21" s="152"/>
      <c r="CW21" s="273"/>
      <c r="CY21" s="234"/>
      <c r="CZ21" s="273"/>
      <c r="DA21" s="152"/>
      <c r="DB21" s="273"/>
    </row>
    <row r="22" spans="1:106" x14ac:dyDescent="0.2">
      <c r="A22" s="11" t="s">
        <v>23</v>
      </c>
      <c r="C22" s="152">
        <f>(2742)/7.45</f>
        <v>368.05369127516775</v>
      </c>
      <c r="D22" s="153">
        <v>362.81879194630869</v>
      </c>
      <c r="E22" s="152">
        <v>345.36912751677852</v>
      </c>
      <c r="F22" s="153">
        <v>358.65771812080538</v>
      </c>
      <c r="G22" s="154"/>
      <c r="H22" s="152">
        <v>363.89261744966444</v>
      </c>
      <c r="I22" s="153">
        <v>339.06040268456377</v>
      </c>
      <c r="J22" s="152">
        <v>357.44966442953017</v>
      </c>
      <c r="K22" s="153">
        <v>374.09395973154363</v>
      </c>
      <c r="L22" s="154"/>
      <c r="M22" s="152">
        <v>387.5167785234899</v>
      </c>
      <c r="N22" s="153">
        <v>382.14765100671138</v>
      </c>
      <c r="O22" s="152">
        <v>397.31543624161071</v>
      </c>
      <c r="P22" s="153">
        <v>435.70469798657717</v>
      </c>
      <c r="Q22" s="154"/>
      <c r="R22" s="152">
        <v>447.91946308724829</v>
      </c>
      <c r="S22" s="153">
        <v>450.33557046979865</v>
      </c>
      <c r="T22" s="152">
        <v>482.95302013422815</v>
      </c>
      <c r="U22" s="153">
        <v>460</v>
      </c>
      <c r="V22" s="154"/>
      <c r="W22" s="152">
        <v>463.22147651006708</v>
      </c>
      <c r="X22" s="153">
        <v>470.85906040268458</v>
      </c>
      <c r="Y22" s="152">
        <v>474.8993288590604</v>
      </c>
      <c r="Z22" s="153">
        <v>499.19463087248323</v>
      </c>
      <c r="AA22" s="152"/>
      <c r="AB22" s="152">
        <v>511.40939597315435</v>
      </c>
      <c r="AC22" s="153">
        <v>540.93959731543623</v>
      </c>
      <c r="AD22" s="152">
        <v>535.83892617449658</v>
      </c>
      <c r="AE22" s="153">
        <v>551.00671140939596</v>
      </c>
      <c r="AF22" s="152"/>
      <c r="AG22" s="152">
        <v>535.43624161073819</v>
      </c>
      <c r="AH22" s="153">
        <v>534.63087248322142</v>
      </c>
      <c r="AI22" s="152">
        <v>536.91275167785238</v>
      </c>
      <c r="AJ22" s="153">
        <v>544.96644295302008</v>
      </c>
      <c r="AK22" s="152"/>
      <c r="AL22" s="152">
        <v>552.48322147651004</v>
      </c>
      <c r="AM22" s="153">
        <v>745.234899328859</v>
      </c>
      <c r="AN22" s="152">
        <v>758.38926174496646</v>
      </c>
      <c r="AO22" s="153">
        <v>769.1275167785235</v>
      </c>
      <c r="AP22" s="152"/>
      <c r="AQ22" s="152">
        <v>747.78523489932888</v>
      </c>
      <c r="AR22" s="153">
        <v>752.08053691275165</v>
      </c>
      <c r="AS22" s="152">
        <v>753.15436241610735</v>
      </c>
      <c r="AT22" s="153">
        <v>760.67114093959731</v>
      </c>
      <c r="AU22" s="152"/>
      <c r="AV22" s="152">
        <v>751.67785234899327</v>
      </c>
      <c r="AW22" s="153">
        <v>763.08724832214762</v>
      </c>
      <c r="AX22" s="152">
        <v>793.69127516778519</v>
      </c>
      <c r="AY22" s="153">
        <v>801.20805369127515</v>
      </c>
      <c r="AZ22" s="152"/>
      <c r="BA22" s="152">
        <v>846.97986577181211</v>
      </c>
      <c r="BB22" s="153">
        <v>802.55033557046977</v>
      </c>
      <c r="BC22" s="152">
        <v>798.79194630872485</v>
      </c>
      <c r="BD22" s="153">
        <v>808.6</v>
      </c>
      <c r="BE22" s="152"/>
      <c r="BF22" s="152">
        <v>802.1</v>
      </c>
      <c r="BG22" s="153">
        <v>801.7</v>
      </c>
      <c r="BH22" s="152">
        <v>760.2</v>
      </c>
      <c r="BI22" s="153">
        <v>951.4</v>
      </c>
      <c r="BJ22" s="152"/>
      <c r="BK22" s="152">
        <v>971.5</v>
      </c>
      <c r="BL22" s="153">
        <v>982.2</v>
      </c>
      <c r="BM22" s="152">
        <v>993.3</v>
      </c>
      <c r="BN22" s="153">
        <v>816.3</v>
      </c>
      <c r="BO22" s="152"/>
      <c r="BP22" s="152">
        <v>774.9</v>
      </c>
      <c r="BQ22" s="153">
        <v>767.2</v>
      </c>
      <c r="BR22" s="152">
        <v>774.5</v>
      </c>
      <c r="BS22" s="153">
        <f>745.6-2.4</f>
        <v>743.2</v>
      </c>
      <c r="BT22" s="152"/>
      <c r="BU22" s="152">
        <v>713.8</v>
      </c>
      <c r="BV22" s="153">
        <v>687.7</v>
      </c>
      <c r="BW22" s="152">
        <v>656</v>
      </c>
      <c r="BX22" s="153">
        <v>651.4</v>
      </c>
      <c r="BZ22" s="152">
        <v>569.5</v>
      </c>
      <c r="CA22" s="153">
        <v>705.8</v>
      </c>
      <c r="CB22" s="152">
        <v>703</v>
      </c>
      <c r="CC22" s="153">
        <v>924</v>
      </c>
      <c r="CE22" s="152">
        <v>954.8</v>
      </c>
      <c r="CF22" s="153">
        <v>1005.6</v>
      </c>
      <c r="CG22" s="152">
        <v>979</v>
      </c>
      <c r="CH22" s="153">
        <v>1007.5</v>
      </c>
      <c r="CJ22" s="152">
        <v>1061.5999999999999</v>
      </c>
      <c r="CK22" s="153">
        <v>944.8</v>
      </c>
      <c r="CL22" s="152">
        <v>931.3</v>
      </c>
      <c r="CM22" s="153">
        <v>990.2</v>
      </c>
      <c r="CO22" s="152">
        <v>1013.9</v>
      </c>
      <c r="CP22" s="153">
        <v>940.1</v>
      </c>
      <c r="CQ22" s="152">
        <v>1368.4</v>
      </c>
      <c r="CR22" s="153">
        <f>+CR25-CR23</f>
        <v>1419.6</v>
      </c>
      <c r="CT22" s="234">
        <v>1439</v>
      </c>
      <c r="CU22" s="273">
        <v>1668</v>
      </c>
      <c r="CV22" s="234">
        <v>1718</v>
      </c>
      <c r="CW22" s="273">
        <v>1698</v>
      </c>
      <c r="CY22" s="234">
        <v>1828</v>
      </c>
      <c r="CZ22" s="273">
        <v>1792</v>
      </c>
      <c r="DA22" s="234">
        <v>1876</v>
      </c>
      <c r="DB22" s="273"/>
    </row>
    <row r="23" spans="1:106" x14ac:dyDescent="0.2">
      <c r="A23" s="11" t="s">
        <v>173</v>
      </c>
      <c r="C23" s="152"/>
      <c r="D23" s="153"/>
      <c r="E23" s="152"/>
      <c r="F23" s="153"/>
      <c r="G23" s="154"/>
      <c r="H23" s="152"/>
      <c r="I23" s="153"/>
      <c r="J23" s="152"/>
      <c r="K23" s="153"/>
      <c r="L23" s="154"/>
      <c r="M23" s="152"/>
      <c r="N23" s="153"/>
      <c r="O23" s="152"/>
      <c r="P23" s="153"/>
      <c r="Q23" s="154"/>
      <c r="R23" s="152"/>
      <c r="S23" s="153"/>
      <c r="T23" s="152"/>
      <c r="U23" s="153"/>
      <c r="V23" s="154"/>
      <c r="W23" s="152"/>
      <c r="X23" s="153"/>
      <c r="Y23" s="152"/>
      <c r="Z23" s="153"/>
      <c r="AA23" s="152"/>
      <c r="AB23" s="152"/>
      <c r="AC23" s="153"/>
      <c r="AD23" s="152"/>
      <c r="AE23" s="153"/>
      <c r="AF23" s="152"/>
      <c r="AG23" s="152"/>
      <c r="AH23" s="153"/>
      <c r="AI23" s="152"/>
      <c r="AJ23" s="153"/>
      <c r="AK23" s="152"/>
      <c r="AL23" s="152"/>
      <c r="AM23" s="153"/>
      <c r="AN23" s="152"/>
      <c r="AO23" s="153"/>
      <c r="AP23" s="152"/>
      <c r="AQ23" s="152"/>
      <c r="AR23" s="153"/>
      <c r="AS23" s="152"/>
      <c r="AT23" s="153"/>
      <c r="AU23" s="152"/>
      <c r="AV23" s="152"/>
      <c r="AW23" s="153"/>
      <c r="AX23" s="152"/>
      <c r="AY23" s="153"/>
      <c r="AZ23" s="152"/>
      <c r="BA23" s="152"/>
      <c r="BB23" s="153"/>
      <c r="BC23" s="152"/>
      <c r="BD23" s="153"/>
      <c r="BE23" s="152"/>
      <c r="BF23" s="152"/>
      <c r="BG23" s="153"/>
      <c r="BH23" s="152"/>
      <c r="BI23" s="153"/>
      <c r="BJ23" s="152"/>
      <c r="BK23" s="152"/>
      <c r="BL23" s="153"/>
      <c r="BM23" s="152"/>
      <c r="BN23" s="153"/>
      <c r="BO23" s="152"/>
      <c r="BP23" s="152"/>
      <c r="BQ23" s="153"/>
      <c r="BR23" s="152">
        <v>150</v>
      </c>
      <c r="BS23" s="153">
        <v>152.4</v>
      </c>
      <c r="BT23" s="152"/>
      <c r="BU23" s="152">
        <v>154.4</v>
      </c>
      <c r="BV23" s="153">
        <v>156.4</v>
      </c>
      <c r="BW23" s="152">
        <v>150.30000000000001</v>
      </c>
      <c r="BX23" s="153">
        <v>152.4</v>
      </c>
      <c r="BZ23" s="152">
        <v>154.4</v>
      </c>
      <c r="CA23" s="153">
        <v>156.4</v>
      </c>
      <c r="CB23" s="152">
        <v>150.30000000000001</v>
      </c>
      <c r="CC23" s="153">
        <v>152.4</v>
      </c>
      <c r="CE23" s="152">
        <v>154.4</v>
      </c>
      <c r="CF23" s="153">
        <v>156.4</v>
      </c>
      <c r="CG23" s="152">
        <v>150.30000000000001</v>
      </c>
      <c r="CH23" s="153">
        <v>152.4</v>
      </c>
      <c r="CJ23" s="152">
        <v>154.4</v>
      </c>
      <c r="CK23" s="153">
        <v>156.4</v>
      </c>
      <c r="CL23" s="152">
        <v>150.9</v>
      </c>
      <c r="CM23" s="153">
        <v>153.6</v>
      </c>
      <c r="CO23" s="152">
        <v>156.30000000000001</v>
      </c>
      <c r="CP23" s="153">
        <v>159</v>
      </c>
      <c r="CQ23" s="152">
        <v>152.6</v>
      </c>
      <c r="CR23" s="153">
        <v>155.4</v>
      </c>
      <c r="CT23" s="234">
        <v>158</v>
      </c>
      <c r="CU23" s="273">
        <v>161</v>
      </c>
      <c r="CV23" s="234">
        <v>152</v>
      </c>
      <c r="CW23" s="273">
        <v>155</v>
      </c>
      <c r="CY23" s="234">
        <v>158</v>
      </c>
      <c r="CZ23" s="273">
        <v>161</v>
      </c>
      <c r="DA23" s="234">
        <v>152</v>
      </c>
      <c r="DB23" s="273"/>
    </row>
    <row r="24" spans="1:106" s="77" customFormat="1" x14ac:dyDescent="0.2">
      <c r="A24" s="77" t="s">
        <v>7</v>
      </c>
      <c r="B24" s="78"/>
      <c r="C24" s="155">
        <v>7.7852348993288585</v>
      </c>
      <c r="D24" s="156">
        <v>7.9194630872483218</v>
      </c>
      <c r="E24" s="155">
        <v>8.4563758389261743</v>
      </c>
      <c r="F24" s="156">
        <v>8.4563758389261743</v>
      </c>
      <c r="G24" s="157"/>
      <c r="H24" s="155">
        <v>8.5906040268456376</v>
      </c>
      <c r="I24" s="156">
        <v>9.5302013422818792</v>
      </c>
      <c r="J24" s="155">
        <v>1.8791946308724832</v>
      </c>
      <c r="K24" s="156">
        <v>2.5503355704697985</v>
      </c>
      <c r="L24" s="157"/>
      <c r="M24" s="155">
        <v>2.6845637583892619</v>
      </c>
      <c r="N24" s="156">
        <v>3.3557046979865772</v>
      </c>
      <c r="O24" s="155">
        <v>3.8926174496644292</v>
      </c>
      <c r="P24" s="156">
        <v>4.9664429530201337</v>
      </c>
      <c r="Q24" s="157"/>
      <c r="R24" s="155">
        <v>5.2348993288590604</v>
      </c>
      <c r="S24" s="156">
        <v>5.6375838926174495</v>
      </c>
      <c r="T24" s="155">
        <v>6.174496644295302</v>
      </c>
      <c r="U24" s="156">
        <v>5.1006711409395971</v>
      </c>
      <c r="V24" s="157"/>
      <c r="W24" s="155">
        <v>4.2953020134228188</v>
      </c>
      <c r="X24" s="156">
        <v>4.6174496644295298</v>
      </c>
      <c r="Y24" s="155">
        <v>5.5033557046979862</v>
      </c>
      <c r="Z24" s="156">
        <v>2.8187919463087248</v>
      </c>
      <c r="AA24" s="155"/>
      <c r="AB24" s="155">
        <v>2.9530201342281877</v>
      </c>
      <c r="AC24" s="156">
        <v>3.087248322147651</v>
      </c>
      <c r="AD24" s="155">
        <v>0.93959731543624159</v>
      </c>
      <c r="AE24" s="156">
        <v>0.93959731543624159</v>
      </c>
      <c r="AF24" s="155"/>
      <c r="AG24" s="155">
        <v>0.67114093959731547</v>
      </c>
      <c r="AH24" s="156">
        <v>0.80536912751677847</v>
      </c>
      <c r="AI24" s="155">
        <v>0.80536912751677847</v>
      </c>
      <c r="AJ24" s="156">
        <v>0.80536912751677847</v>
      </c>
      <c r="AK24" s="155"/>
      <c r="AL24" s="155">
        <v>0.80536912751677847</v>
      </c>
      <c r="AM24" s="156">
        <v>0.80536912751677847</v>
      </c>
      <c r="AN24" s="155">
        <v>0.93959731543624159</v>
      </c>
      <c r="AO24" s="156">
        <v>0.93959731543624159</v>
      </c>
      <c r="AP24" s="155"/>
      <c r="AQ24" s="155">
        <v>1.0738255033557047</v>
      </c>
      <c r="AR24" s="156">
        <v>0.93959731543624159</v>
      </c>
      <c r="AS24" s="155">
        <v>0.93959731543624159</v>
      </c>
      <c r="AT24" s="156">
        <v>0.93959731543624159</v>
      </c>
      <c r="AU24" s="155"/>
      <c r="AV24" s="155">
        <v>0.80536912751677847</v>
      </c>
      <c r="AW24" s="156">
        <v>0.80536912751677847</v>
      </c>
      <c r="AX24" s="155">
        <v>0.80536912751677847</v>
      </c>
      <c r="AY24" s="156">
        <v>0.80536912751677847</v>
      </c>
      <c r="AZ24" s="155"/>
      <c r="BA24" s="155">
        <v>0.93959731543624159</v>
      </c>
      <c r="BB24" s="156">
        <v>0.93959731543624159</v>
      </c>
      <c r="BC24" s="155">
        <v>0.93959731543624159</v>
      </c>
      <c r="BD24" s="156">
        <v>0.9</v>
      </c>
      <c r="BE24" s="155"/>
      <c r="BF24" s="155">
        <v>0.93959731543624159</v>
      </c>
      <c r="BG24" s="156">
        <v>0</v>
      </c>
      <c r="BH24" s="155">
        <v>0</v>
      </c>
      <c r="BI24" s="156">
        <v>0</v>
      </c>
      <c r="BJ24" s="155"/>
      <c r="BK24" s="155">
        <v>0</v>
      </c>
      <c r="BL24" s="156">
        <v>0</v>
      </c>
      <c r="BM24" s="155">
        <v>0</v>
      </c>
      <c r="BN24" s="156">
        <v>0</v>
      </c>
      <c r="BO24" s="155"/>
      <c r="BP24" s="155">
        <v>0</v>
      </c>
      <c r="BQ24" s="156">
        <v>0</v>
      </c>
      <c r="BR24" s="155">
        <v>0</v>
      </c>
      <c r="BS24" s="156">
        <v>0</v>
      </c>
      <c r="BT24" s="155"/>
      <c r="BU24" s="155">
        <v>0</v>
      </c>
      <c r="BV24" s="156">
        <v>0</v>
      </c>
      <c r="BW24" s="155">
        <v>0</v>
      </c>
      <c r="BX24" s="156">
        <v>0</v>
      </c>
      <c r="BZ24" s="155">
        <v>0</v>
      </c>
      <c r="CA24" s="156">
        <v>0</v>
      </c>
      <c r="CB24" s="155">
        <v>0</v>
      </c>
      <c r="CC24" s="156">
        <v>0</v>
      </c>
      <c r="CE24" s="155">
        <v>0</v>
      </c>
      <c r="CF24" s="156">
        <v>0</v>
      </c>
      <c r="CG24" s="155">
        <v>0</v>
      </c>
      <c r="CH24" s="156">
        <v>0</v>
      </c>
      <c r="CJ24" s="155">
        <v>0</v>
      </c>
      <c r="CK24" s="156">
        <v>0</v>
      </c>
      <c r="CL24" s="155">
        <v>0</v>
      </c>
      <c r="CM24" s="156">
        <v>0</v>
      </c>
      <c r="CO24" s="155">
        <v>0</v>
      </c>
      <c r="CP24" s="156">
        <v>0</v>
      </c>
      <c r="CQ24" s="155">
        <v>0</v>
      </c>
      <c r="CR24" s="156"/>
      <c r="CT24" s="235">
        <v>0</v>
      </c>
      <c r="CU24" s="274"/>
      <c r="CV24" s="155"/>
      <c r="CW24" s="274"/>
      <c r="CY24" s="235">
        <v>0</v>
      </c>
      <c r="CZ24" s="274">
        <v>0</v>
      </c>
      <c r="DA24" s="155"/>
      <c r="DB24" s="274"/>
    </row>
    <row r="25" spans="1:106" x14ac:dyDescent="0.2">
      <c r="A25" s="11" t="s">
        <v>92</v>
      </c>
      <c r="C25" s="152">
        <f>SUM(C22:C24)</f>
        <v>375.83892617449663</v>
      </c>
      <c r="D25" s="153">
        <f>SUM(D22:D24)</f>
        <v>370.73825503355704</v>
      </c>
      <c r="E25" s="152">
        <f>SUM(E22:E24)</f>
        <v>353.82550335570471</v>
      </c>
      <c r="F25" s="153">
        <f>SUM(F22:F24)</f>
        <v>367.11409395973158</v>
      </c>
      <c r="G25" s="154"/>
      <c r="H25" s="152">
        <f>SUM(H22:H24)</f>
        <v>372.4832214765101</v>
      </c>
      <c r="I25" s="153">
        <f>SUM(I22:I24)</f>
        <v>348.59060402684565</v>
      </c>
      <c r="J25" s="152">
        <f>SUM(J22:J24)</f>
        <v>359.32885906040264</v>
      </c>
      <c r="K25" s="153">
        <f>SUM(K22:K24)</f>
        <v>376.64429530201346</v>
      </c>
      <c r="L25" s="154"/>
      <c r="M25" s="152">
        <f>SUM(M22:M24)</f>
        <v>390.20134228187919</v>
      </c>
      <c r="N25" s="153">
        <f>SUM(N22:N24)</f>
        <v>385.50335570469798</v>
      </c>
      <c r="O25" s="152">
        <f>SUM(O22:O24)</f>
        <v>401.20805369127515</v>
      </c>
      <c r="P25" s="153">
        <f>SUM(P22:P24)</f>
        <v>440.67114093959731</v>
      </c>
      <c r="Q25" s="154"/>
      <c r="R25" s="152">
        <f>SUM(R22:R24)</f>
        <v>453.15436241610735</v>
      </c>
      <c r="S25" s="153">
        <f>SUM(S22:S24)</f>
        <v>455.9731543624161</v>
      </c>
      <c r="T25" s="152">
        <f>SUM(T22:T24)</f>
        <v>489.12751677852344</v>
      </c>
      <c r="U25" s="153">
        <f>SUM(U22:U24)</f>
        <v>465.1006711409396</v>
      </c>
      <c r="V25" s="154"/>
      <c r="W25" s="152">
        <f>SUM(W22:W24)</f>
        <v>467.5167785234899</v>
      </c>
      <c r="X25" s="153">
        <f>SUM(X22:X24)</f>
        <v>475.47651006711413</v>
      </c>
      <c r="Y25" s="152">
        <f>SUM(Y22:Y24)</f>
        <v>480.40268456375838</v>
      </c>
      <c r="Z25" s="153">
        <f>SUM(Z22:Z24)</f>
        <v>502.01342281879198</v>
      </c>
      <c r="AA25" s="152"/>
      <c r="AB25" s="152">
        <f>SUM(AB22:AB24)</f>
        <v>514.3624161073825</v>
      </c>
      <c r="AC25" s="153">
        <f>SUM(AC22:AC24)</f>
        <v>544.02684563758385</v>
      </c>
      <c r="AD25" s="152">
        <f>SUM(AD22:AD24)</f>
        <v>536.77852348993281</v>
      </c>
      <c r="AE25" s="153">
        <f>SUM(AE22:AE24)</f>
        <v>551.94630872483219</v>
      </c>
      <c r="AF25" s="152"/>
      <c r="AG25" s="152">
        <f>SUM(AG22:AG24)</f>
        <v>536.1073825503355</v>
      </c>
      <c r="AH25" s="153">
        <f>SUM(AH22:AH24)</f>
        <v>535.43624161073819</v>
      </c>
      <c r="AI25" s="152">
        <f>SUM(AI22:AI24)</f>
        <v>537.71812080536915</v>
      </c>
      <c r="AJ25" s="153">
        <f>SUM(AJ22:AJ24)</f>
        <v>545.77181208053685</v>
      </c>
      <c r="AK25" s="152"/>
      <c r="AL25" s="152">
        <f>SUM(AL22:AL24)</f>
        <v>553.28859060402681</v>
      </c>
      <c r="AM25" s="153">
        <f>SUM(AM22:AM24)</f>
        <v>746.04026845637577</v>
      </c>
      <c r="AN25" s="152">
        <f>SUM(AN22:AN24)</f>
        <v>759.32885906040269</v>
      </c>
      <c r="AO25" s="153">
        <f>SUM(AO22:AO24)</f>
        <v>770.06711409395973</v>
      </c>
      <c r="AP25" s="152"/>
      <c r="AQ25" s="152">
        <f>SUM(AQ22:AQ24)</f>
        <v>748.85906040268458</v>
      </c>
      <c r="AR25" s="153">
        <f>SUM(AR22:AR24)</f>
        <v>753.02013422818789</v>
      </c>
      <c r="AS25" s="152">
        <f>SUM(AS22:AS24)</f>
        <v>754.09395973154358</v>
      </c>
      <c r="AT25" s="153">
        <f>SUM(AT22:AT24)</f>
        <v>761.61073825503354</v>
      </c>
      <c r="AU25" s="152"/>
      <c r="AV25" s="152">
        <f>SUM(AV22:AV24)</f>
        <v>752.48322147651004</v>
      </c>
      <c r="AW25" s="153">
        <f>SUM(AW22:AW24)</f>
        <v>763.89261744966439</v>
      </c>
      <c r="AX25" s="152">
        <f>SUM(AX22:AX24)</f>
        <v>794.49664429530196</v>
      </c>
      <c r="AY25" s="153">
        <f>SUM(AY22:AY24)</f>
        <v>802.01342281879192</v>
      </c>
      <c r="AZ25" s="152"/>
      <c r="BA25" s="152">
        <f>SUM(BA22:BA24)</f>
        <v>847.91946308724835</v>
      </c>
      <c r="BB25" s="153">
        <f>SUM(BB22:BB24)</f>
        <v>803.489932885906</v>
      </c>
      <c r="BC25" s="152">
        <f>SUM(BC22:BC24)</f>
        <v>799.73154362416108</v>
      </c>
      <c r="BD25" s="153">
        <f>SUM(BD22:BD24)</f>
        <v>809.5</v>
      </c>
      <c r="BE25" s="152"/>
      <c r="BF25" s="152">
        <f>SUM(BF22:BF24)</f>
        <v>803.03959731543625</v>
      </c>
      <c r="BG25" s="153">
        <f>SUM(BG22:BG24)</f>
        <v>801.7</v>
      </c>
      <c r="BH25" s="152">
        <f>SUM(BH22:BH24)</f>
        <v>760.2</v>
      </c>
      <c r="BI25" s="153">
        <f>SUM(BI22:BI24)</f>
        <v>951.4</v>
      </c>
      <c r="BJ25" s="152"/>
      <c r="BK25" s="152">
        <f>SUM(BK22:BK24)</f>
        <v>971.5</v>
      </c>
      <c r="BL25" s="153">
        <f>SUM(BL22:BL24)</f>
        <v>982.2</v>
      </c>
      <c r="BM25" s="152">
        <f>SUM(BM22:BM24)</f>
        <v>993.3</v>
      </c>
      <c r="BN25" s="153">
        <f>SUM(BN22:BN24)</f>
        <v>816.3</v>
      </c>
      <c r="BO25" s="152"/>
      <c r="BP25" s="152">
        <f>SUM(BP22:BP24)</f>
        <v>774.9</v>
      </c>
      <c r="BQ25" s="153">
        <f>SUM(BQ22:BQ24)</f>
        <v>767.2</v>
      </c>
      <c r="BR25" s="152">
        <f>SUM(BR22:BR24)</f>
        <v>924.5</v>
      </c>
      <c r="BS25" s="153">
        <f>SUM(BS22:BS24)</f>
        <v>895.6</v>
      </c>
      <c r="BT25" s="152"/>
      <c r="BU25" s="152">
        <f>SUM(BU22:BU24)</f>
        <v>868.19999999999993</v>
      </c>
      <c r="BV25" s="153">
        <f>SUM(BV22:BV24)</f>
        <v>844.1</v>
      </c>
      <c r="BW25" s="152">
        <f>SUM(BW22:BW24)</f>
        <v>806.3</v>
      </c>
      <c r="BX25" s="153">
        <f>SUM(BX22:BX24)</f>
        <v>803.8</v>
      </c>
      <c r="BZ25" s="152">
        <f>SUM(BZ22:BZ24)</f>
        <v>723.9</v>
      </c>
      <c r="CA25" s="153">
        <f>SUM(CA22:CA24)</f>
        <v>862.19999999999993</v>
      </c>
      <c r="CB25" s="152">
        <f>SUM(CB22:CB24)</f>
        <v>853.3</v>
      </c>
      <c r="CC25" s="153">
        <f>SUM(CC22:CC24)</f>
        <v>1076.4000000000001</v>
      </c>
      <c r="CE25" s="152">
        <f>SUM(CE22:CE24)</f>
        <v>1109.2</v>
      </c>
      <c r="CF25" s="153">
        <f t="shared" ref="CF25:CH25" si="2">SUM(CF22:CF24)</f>
        <v>1162</v>
      </c>
      <c r="CG25" s="152">
        <f t="shared" si="2"/>
        <v>1129.3</v>
      </c>
      <c r="CH25" s="153">
        <f t="shared" si="2"/>
        <v>1159.9000000000001</v>
      </c>
      <c r="CJ25" s="152">
        <f>SUM(CJ22:CJ24)</f>
        <v>1216</v>
      </c>
      <c r="CK25" s="153">
        <f t="shared" ref="CK25:CM25" si="3">SUM(CK22:CK24)</f>
        <v>1101.2</v>
      </c>
      <c r="CL25" s="152">
        <f t="shared" si="3"/>
        <v>1082.2</v>
      </c>
      <c r="CM25" s="153">
        <f t="shared" si="3"/>
        <v>1143.8</v>
      </c>
      <c r="CO25" s="152">
        <f>SUM(CO22:CO24)</f>
        <v>1170.2</v>
      </c>
      <c r="CP25" s="153">
        <f>+CP22+CP23+CP24</f>
        <v>1099.0999999999999</v>
      </c>
      <c r="CQ25" s="152">
        <f>+CQ22+CQ23+CQ24</f>
        <v>1521</v>
      </c>
      <c r="CR25" s="153">
        <v>1575</v>
      </c>
      <c r="CT25" s="234">
        <f>SUM(CT22:CT24)</f>
        <v>1597</v>
      </c>
      <c r="CU25" s="273">
        <v>1829</v>
      </c>
      <c r="CV25" s="234">
        <v>1870</v>
      </c>
      <c r="CW25" s="273">
        <f>+CW22+CW23</f>
        <v>1853</v>
      </c>
      <c r="CY25" s="234">
        <f>SUM(CY22:CY24)</f>
        <v>1986</v>
      </c>
      <c r="CZ25" s="273">
        <f>+CZ22+CZ23+CZ24</f>
        <v>1953</v>
      </c>
      <c r="DA25" s="234">
        <f>SUM(DA22:DA24)</f>
        <v>2028</v>
      </c>
      <c r="DB25" s="273"/>
    </row>
    <row r="26" spans="1:106" x14ac:dyDescent="0.2">
      <c r="A26" s="11" t="s">
        <v>45</v>
      </c>
      <c r="C26" s="152">
        <f>(8+284+14)/7.45</f>
        <v>41.073825503355707</v>
      </c>
      <c r="D26" s="153">
        <f>(9+283+16)/7.45</f>
        <v>41.34228187919463</v>
      </c>
      <c r="E26" s="152">
        <v>41.208053691275168</v>
      </c>
      <c r="F26" s="153">
        <v>42.281879194630875</v>
      </c>
      <c r="G26" s="154"/>
      <c r="H26" s="164">
        <v>43.624161073825505</v>
      </c>
      <c r="I26" s="153">
        <v>44.161073825503358</v>
      </c>
      <c r="J26" s="152">
        <v>43.221476510067113</v>
      </c>
      <c r="K26" s="153">
        <v>42.550335570469798</v>
      </c>
      <c r="L26" s="154"/>
      <c r="M26" s="152">
        <v>46.442953020134226</v>
      </c>
      <c r="N26" s="153">
        <v>50.469798657718123</v>
      </c>
      <c r="O26" s="152">
        <v>62.147651006711406</v>
      </c>
      <c r="P26" s="153">
        <v>63.624161073825505</v>
      </c>
      <c r="Q26" s="154"/>
      <c r="R26" s="152">
        <v>68.322147651006716</v>
      </c>
      <c r="S26" s="153">
        <v>69.127516778523486</v>
      </c>
      <c r="T26" s="152">
        <f>(125+286+98)/7.45</f>
        <v>68.322147651006716</v>
      </c>
      <c r="U26" s="153">
        <f>(91+280+123)/7.45</f>
        <v>66.308724832214764</v>
      </c>
      <c r="V26" s="154"/>
      <c r="W26" s="152">
        <v>66.174496644295303</v>
      </c>
      <c r="X26" s="153">
        <f>(369.9+144.2)/7.45</f>
        <v>69.006711409395962</v>
      </c>
      <c r="Y26" s="152">
        <v>70.872483221476514</v>
      </c>
      <c r="Z26" s="153">
        <v>73.959731543624159</v>
      </c>
      <c r="AA26" s="152"/>
      <c r="AB26" s="152">
        <f>(147+286+42)/7.45</f>
        <v>63.758389261744966</v>
      </c>
      <c r="AC26" s="153">
        <v>73.557046979865774</v>
      </c>
      <c r="AD26" s="152">
        <v>76.912751677852341</v>
      </c>
      <c r="AE26" s="153">
        <v>78.255033557046971</v>
      </c>
      <c r="AF26" s="152"/>
      <c r="AG26" s="152">
        <v>74.09395973154362</v>
      </c>
      <c r="AH26" s="153">
        <v>68.053691275167779</v>
      </c>
      <c r="AI26" s="152">
        <v>63.221476510067113</v>
      </c>
      <c r="AJ26" s="153">
        <v>81.610738255033553</v>
      </c>
      <c r="AK26" s="152"/>
      <c r="AL26" s="152">
        <v>75.570469798657712</v>
      </c>
      <c r="AM26" s="153">
        <v>71.677852348993284</v>
      </c>
      <c r="AN26" s="152">
        <v>73.959731543624159</v>
      </c>
      <c r="AO26" s="153">
        <v>88.724832214765101</v>
      </c>
      <c r="AP26" s="152"/>
      <c r="AQ26" s="152">
        <v>91.140939597315437</v>
      </c>
      <c r="AR26" s="153">
        <v>90.335570469798654</v>
      </c>
      <c r="AS26" s="152">
        <f>(251+343+71)/7.45</f>
        <v>89.261744966442947</v>
      </c>
      <c r="AT26" s="153">
        <f>(345.8+342.3+69.5)/7.45</f>
        <v>101.69127516778524</v>
      </c>
      <c r="AU26" s="152"/>
      <c r="AV26" s="152">
        <v>93.422818791946312</v>
      </c>
      <c r="AW26" s="153">
        <v>100.93959731543625</v>
      </c>
      <c r="AX26" s="152">
        <f>(379+343+69)/7.45</f>
        <v>106.1744966442953</v>
      </c>
      <c r="AY26" s="153">
        <v>117.18120805369128</v>
      </c>
      <c r="AZ26" s="152"/>
      <c r="BA26" s="152">
        <v>108.85906040268456</v>
      </c>
      <c r="BB26" s="153">
        <v>117.71812080536913</v>
      </c>
      <c r="BC26" s="152">
        <v>119.32885906040268</v>
      </c>
      <c r="BD26" s="153">
        <v>117.5</v>
      </c>
      <c r="BE26" s="152"/>
      <c r="BF26" s="152">
        <v>113</v>
      </c>
      <c r="BG26" s="153">
        <v>112.9</v>
      </c>
      <c r="BH26" s="152">
        <f>42.5+54.6+20.8</f>
        <v>117.89999999999999</v>
      </c>
      <c r="BI26" s="153">
        <v>73.900000000000006</v>
      </c>
      <c r="BJ26" s="152"/>
      <c r="BK26" s="152">
        <v>124.9</v>
      </c>
      <c r="BL26" s="153">
        <f>51.2+53.2+22.6</f>
        <v>127</v>
      </c>
      <c r="BM26" s="152">
        <f>54.5+53.3+30.4</f>
        <v>138.19999999999999</v>
      </c>
      <c r="BN26" s="153">
        <f>28.5+59.9+52.5</f>
        <v>140.9</v>
      </c>
      <c r="BO26" s="152"/>
      <c r="BP26" s="152">
        <f>55.5+52.6+23.6</f>
        <v>131.69999999999999</v>
      </c>
      <c r="BQ26" s="153">
        <f>56.3+52.8+23</f>
        <v>132.1</v>
      </c>
      <c r="BR26" s="152">
        <f>57.3+52.8+20.1</f>
        <v>130.19999999999999</v>
      </c>
      <c r="BS26" s="153">
        <f>46.3+49.9+18.5</f>
        <v>114.69999999999999</v>
      </c>
      <c r="BT26" s="152"/>
      <c r="BU26" s="152">
        <f>45.4+49.9+16.7</f>
        <v>112</v>
      </c>
      <c r="BV26" s="153">
        <f>44.4+49.6+15.1</f>
        <v>109.1</v>
      </c>
      <c r="BW26" s="152">
        <f>43.1+49.6+13.7</f>
        <v>106.4</v>
      </c>
      <c r="BX26" s="153">
        <f>31.8+55.6+14.6</f>
        <v>102</v>
      </c>
      <c r="BZ26" s="152">
        <f>24.5+55.6+11.9</f>
        <v>92</v>
      </c>
      <c r="CA26" s="153">
        <f>34.3+55.6+10.9</f>
        <v>100.80000000000001</v>
      </c>
      <c r="CB26" s="152">
        <f>38.4+55.6+9.7</f>
        <v>103.7</v>
      </c>
      <c r="CC26" s="153">
        <f>40.9+67.1</f>
        <v>108</v>
      </c>
      <c r="CE26" s="152">
        <f>53.5+66.1</f>
        <v>119.6</v>
      </c>
      <c r="CF26" s="153">
        <f>66.9+72.7</f>
        <v>139.60000000000002</v>
      </c>
      <c r="CG26" s="152">
        <f>59.2+74.8</f>
        <v>134</v>
      </c>
      <c r="CH26" s="153">
        <f>71.8+62.5</f>
        <v>134.30000000000001</v>
      </c>
      <c r="CJ26" s="152">
        <f>86.2+62.5</f>
        <v>148.69999999999999</v>
      </c>
      <c r="CK26" s="153">
        <f>48.1+61.9</f>
        <v>110</v>
      </c>
      <c r="CL26" s="152">
        <v>100.7</v>
      </c>
      <c r="CM26" s="153">
        <f>52.7+54.9</f>
        <v>107.6</v>
      </c>
      <c r="CO26" s="152">
        <f>59.3+52.8</f>
        <v>112.1</v>
      </c>
      <c r="CP26" s="153">
        <f>29.7+54</f>
        <v>83.7</v>
      </c>
      <c r="CQ26" s="152">
        <f>32.2+55.2</f>
        <v>87.4</v>
      </c>
      <c r="CR26" s="153">
        <f>36.7+39.5+11.2</f>
        <v>87.4</v>
      </c>
      <c r="CT26" s="234">
        <f>28+40+13</f>
        <v>81</v>
      </c>
      <c r="CU26" s="273">
        <v>17</v>
      </c>
      <c r="CV26" s="234">
        <f>41+39+18</f>
        <v>98</v>
      </c>
      <c r="CW26" s="273">
        <v>35</v>
      </c>
      <c r="CY26" s="234">
        <v>34</v>
      </c>
      <c r="CZ26" s="273">
        <v>34</v>
      </c>
      <c r="DA26" s="234">
        <v>34</v>
      </c>
      <c r="DB26" s="273"/>
    </row>
    <row r="27" spans="1:106" x14ac:dyDescent="0.2">
      <c r="A27" s="11" t="s">
        <v>219</v>
      </c>
      <c r="C27" s="152"/>
      <c r="D27" s="153"/>
      <c r="E27" s="152"/>
      <c r="F27" s="153"/>
      <c r="G27" s="154"/>
      <c r="H27" s="164"/>
      <c r="I27" s="153"/>
      <c r="J27" s="152"/>
      <c r="K27" s="153"/>
      <c r="L27" s="154"/>
      <c r="M27" s="152"/>
      <c r="N27" s="153"/>
      <c r="O27" s="152"/>
      <c r="P27" s="153"/>
      <c r="Q27" s="154"/>
      <c r="R27" s="152"/>
      <c r="S27" s="153"/>
      <c r="T27" s="152"/>
      <c r="U27" s="153"/>
      <c r="V27" s="154"/>
      <c r="W27" s="152"/>
      <c r="X27" s="153"/>
      <c r="Y27" s="152"/>
      <c r="Z27" s="153"/>
      <c r="AA27" s="152"/>
      <c r="AB27" s="152"/>
      <c r="AC27" s="153"/>
      <c r="AD27" s="152"/>
      <c r="AE27" s="153"/>
      <c r="AF27" s="152"/>
      <c r="AG27" s="152"/>
      <c r="AH27" s="153"/>
      <c r="AI27" s="152"/>
      <c r="AJ27" s="153"/>
      <c r="AK27" s="152"/>
      <c r="AL27" s="152"/>
      <c r="AM27" s="153"/>
      <c r="AN27" s="152"/>
      <c r="AO27" s="153"/>
      <c r="AP27" s="152"/>
      <c r="AQ27" s="152"/>
      <c r="AR27" s="153"/>
      <c r="AS27" s="152"/>
      <c r="AT27" s="153"/>
      <c r="AU27" s="152"/>
      <c r="AV27" s="152"/>
      <c r="AW27" s="153"/>
      <c r="AX27" s="152"/>
      <c r="AY27" s="153"/>
      <c r="AZ27" s="152"/>
      <c r="BA27" s="152"/>
      <c r="BB27" s="153"/>
      <c r="BC27" s="152"/>
      <c r="BD27" s="153"/>
      <c r="BE27" s="152"/>
      <c r="BF27" s="152"/>
      <c r="BG27" s="153"/>
      <c r="BH27" s="152"/>
      <c r="BI27" s="153"/>
      <c r="BJ27" s="152"/>
      <c r="BK27" s="152"/>
      <c r="BL27" s="153"/>
      <c r="BM27" s="152"/>
      <c r="BN27" s="153"/>
      <c r="BO27" s="152"/>
      <c r="BP27" s="152"/>
      <c r="BQ27" s="153"/>
      <c r="BR27" s="152"/>
      <c r="BS27" s="153"/>
      <c r="BT27" s="152"/>
      <c r="BU27" s="152"/>
      <c r="BV27" s="153"/>
      <c r="BW27" s="152"/>
      <c r="BX27" s="153"/>
      <c r="BZ27" s="152"/>
      <c r="CA27" s="153"/>
      <c r="CB27" s="152"/>
      <c r="CC27" s="153"/>
      <c r="CE27" s="152"/>
      <c r="CF27" s="153"/>
      <c r="CG27" s="152"/>
      <c r="CH27" s="153"/>
      <c r="CJ27" s="152"/>
      <c r="CK27" s="153"/>
      <c r="CL27" s="152"/>
      <c r="CM27" s="153"/>
      <c r="CO27" s="152"/>
      <c r="CP27" s="153"/>
      <c r="CQ27" s="152"/>
      <c r="CR27" s="153"/>
      <c r="CT27" s="234"/>
      <c r="CU27" s="273"/>
      <c r="CV27" s="234"/>
      <c r="CW27" s="273"/>
      <c r="CY27" s="234">
        <v>877</v>
      </c>
      <c r="CZ27" s="273">
        <v>916</v>
      </c>
      <c r="DA27" s="234">
        <v>987</v>
      </c>
      <c r="DB27" s="273"/>
    </row>
    <row r="28" spans="1:106" x14ac:dyDescent="0.2">
      <c r="A28" s="11" t="s">
        <v>76</v>
      </c>
      <c r="C28" s="152">
        <v>102.01342281879194</v>
      </c>
      <c r="D28" s="153">
        <v>97.583892617449663</v>
      </c>
      <c r="E28" s="152">
        <v>136.10738255033556</v>
      </c>
      <c r="F28" s="153">
        <v>131.6778523489933</v>
      </c>
      <c r="G28" s="154"/>
      <c r="H28" s="152">
        <v>131.6778523489933</v>
      </c>
      <c r="I28" s="153">
        <v>131.54362416107384</v>
      </c>
      <c r="J28" s="152">
        <v>131.54362416107384</v>
      </c>
      <c r="K28" s="153">
        <v>198.25503355704697</v>
      </c>
      <c r="L28" s="154"/>
      <c r="M28" s="152">
        <v>229.93288590604027</v>
      </c>
      <c r="N28" s="153">
        <v>231.00671140939596</v>
      </c>
      <c r="O28" s="152">
        <v>230.60402684563758</v>
      </c>
      <c r="P28" s="153">
        <v>180.26845637583892</v>
      </c>
      <c r="Q28" s="154"/>
      <c r="R28" s="152">
        <v>189.26174496644296</v>
      </c>
      <c r="S28" s="153">
        <v>196.24161073825502</v>
      </c>
      <c r="T28" s="152">
        <v>192.75167785234899</v>
      </c>
      <c r="U28" s="153">
        <v>176.51006711409394</v>
      </c>
      <c r="V28" s="154"/>
      <c r="W28" s="152">
        <v>165.1006711409396</v>
      </c>
      <c r="X28" s="153">
        <v>255.9731543624161</v>
      </c>
      <c r="Y28" s="152">
        <v>290.73825503355704</v>
      </c>
      <c r="Z28" s="153">
        <v>261.34228187919462</v>
      </c>
      <c r="AA28" s="152"/>
      <c r="AB28" s="152">
        <v>315.70469798657717</v>
      </c>
      <c r="AC28" s="153">
        <v>365.36912751677852</v>
      </c>
      <c r="AD28" s="152">
        <v>384.96644295302013</v>
      </c>
      <c r="AE28" s="153">
        <v>463.35570469798654</v>
      </c>
      <c r="AF28" s="152"/>
      <c r="AG28" s="152">
        <v>550.06711409395973</v>
      </c>
      <c r="AH28" s="153">
        <v>558.12080536912754</v>
      </c>
      <c r="AI28" s="152">
        <v>492.75167785234896</v>
      </c>
      <c r="AJ28" s="153">
        <v>477.58389261744964</v>
      </c>
      <c r="AK28" s="152"/>
      <c r="AL28" s="152">
        <v>520</v>
      </c>
      <c r="AM28" s="153">
        <v>254.36241610738256</v>
      </c>
      <c r="AN28" s="152">
        <v>270.06711409395973</v>
      </c>
      <c r="AO28" s="153">
        <v>73.020134228187914</v>
      </c>
      <c r="AP28" s="152"/>
      <c r="AQ28" s="152">
        <v>151.54362416107381</v>
      </c>
      <c r="AR28" s="153">
        <v>230.46979865771812</v>
      </c>
      <c r="AS28" s="152">
        <v>230.46979865771812</v>
      </c>
      <c r="AT28" s="153">
        <v>281.61073825503354</v>
      </c>
      <c r="AU28" s="152"/>
      <c r="AV28" s="152">
        <v>279.59731543624162</v>
      </c>
      <c r="AW28" s="153">
        <v>262.14765100671138</v>
      </c>
      <c r="AX28" s="152">
        <v>286.57718120805367</v>
      </c>
      <c r="AY28" s="153">
        <v>177.18120805369128</v>
      </c>
      <c r="AZ28" s="152"/>
      <c r="BA28" s="152">
        <v>210.06711409395973</v>
      </c>
      <c r="BB28" s="153">
        <v>251.67785234899327</v>
      </c>
      <c r="BC28" s="152">
        <v>202.28187919463087</v>
      </c>
      <c r="BD28" s="153">
        <v>143.9</v>
      </c>
      <c r="BE28" s="152"/>
      <c r="BF28" s="152">
        <v>197.9</v>
      </c>
      <c r="BG28" s="153">
        <v>212.5</v>
      </c>
      <c r="BH28" s="152">
        <v>185</v>
      </c>
      <c r="BI28" s="153">
        <v>83</v>
      </c>
      <c r="BJ28" s="152"/>
      <c r="BK28" s="152">
        <v>635.4</v>
      </c>
      <c r="BL28" s="153">
        <v>773.8</v>
      </c>
      <c r="BM28" s="152">
        <v>744.6</v>
      </c>
      <c r="BN28" s="153">
        <v>332.8</v>
      </c>
      <c r="BO28" s="152"/>
      <c r="BP28" s="152">
        <v>456.4</v>
      </c>
      <c r="BQ28" s="153">
        <v>414</v>
      </c>
      <c r="BR28" s="152">
        <v>312.60000000000002</v>
      </c>
      <c r="BS28" s="153">
        <v>268.39999999999998</v>
      </c>
      <c r="BT28" s="152"/>
      <c r="BU28" s="152">
        <f>305.1+30.6</f>
        <v>335.70000000000005</v>
      </c>
      <c r="BV28" s="153">
        <f>304.5+29.4</f>
        <v>333.9</v>
      </c>
      <c r="BW28" s="152">
        <f>317+28.2</f>
        <v>345.2</v>
      </c>
      <c r="BX28" s="153">
        <f>206.4+31.6</f>
        <v>238</v>
      </c>
      <c r="BZ28" s="152">
        <v>351.5</v>
      </c>
      <c r="CA28" s="153">
        <v>307.5</v>
      </c>
      <c r="CB28" s="152">
        <v>315</v>
      </c>
      <c r="CC28" s="153">
        <v>200.6</v>
      </c>
      <c r="CE28" s="152">
        <v>196.8</v>
      </c>
      <c r="CF28" s="153">
        <v>198.5</v>
      </c>
      <c r="CG28" s="152">
        <v>192.8</v>
      </c>
      <c r="CH28" s="153">
        <v>196.4</v>
      </c>
      <c r="CJ28" s="152">
        <v>213.3</v>
      </c>
      <c r="CK28" s="153">
        <v>200.5</v>
      </c>
      <c r="CL28" s="152">
        <v>179.3</v>
      </c>
      <c r="CM28" s="153">
        <v>180.9</v>
      </c>
      <c r="CO28" s="152">
        <v>171.9</v>
      </c>
      <c r="CP28" s="153">
        <v>172</v>
      </c>
      <c r="CQ28" s="152">
        <v>169.9</v>
      </c>
      <c r="CR28" s="153">
        <v>195.5</v>
      </c>
      <c r="CT28" s="234">
        <v>194</v>
      </c>
      <c r="CU28" s="273">
        <f>302-CU26</f>
        <v>285</v>
      </c>
      <c r="CV28" s="234">
        <v>209</v>
      </c>
      <c r="CW28" s="273">
        <v>221</v>
      </c>
      <c r="CY28" s="234">
        <v>224</v>
      </c>
      <c r="CZ28" s="273">
        <v>221</v>
      </c>
      <c r="DA28" s="234">
        <v>221</v>
      </c>
      <c r="DB28" s="273"/>
    </row>
    <row r="29" spans="1:106" x14ac:dyDescent="0.2">
      <c r="A29" s="11" t="s">
        <v>221</v>
      </c>
      <c r="C29" s="152"/>
      <c r="D29" s="153"/>
      <c r="E29" s="152"/>
      <c r="F29" s="153"/>
      <c r="G29" s="154"/>
      <c r="H29" s="152"/>
      <c r="I29" s="153"/>
      <c r="J29" s="152"/>
      <c r="K29" s="153"/>
      <c r="L29" s="154"/>
      <c r="M29" s="152"/>
      <c r="N29" s="153"/>
      <c r="O29" s="152"/>
      <c r="P29" s="153"/>
      <c r="Q29" s="154"/>
      <c r="R29" s="152"/>
      <c r="S29" s="153"/>
      <c r="T29" s="152"/>
      <c r="U29" s="153"/>
      <c r="V29" s="154"/>
      <c r="W29" s="152"/>
      <c r="X29" s="153"/>
      <c r="Y29" s="152"/>
      <c r="Z29" s="153"/>
      <c r="AA29" s="152"/>
      <c r="AB29" s="152"/>
      <c r="AC29" s="153"/>
      <c r="AD29" s="152"/>
      <c r="AE29" s="153"/>
      <c r="AF29" s="152"/>
      <c r="AG29" s="152"/>
      <c r="AH29" s="153"/>
      <c r="AI29" s="152"/>
      <c r="AJ29" s="153"/>
      <c r="AK29" s="152"/>
      <c r="AL29" s="152"/>
      <c r="AM29" s="153"/>
      <c r="AN29" s="152"/>
      <c r="AO29" s="153"/>
      <c r="AP29" s="152"/>
      <c r="AQ29" s="152"/>
      <c r="AR29" s="153"/>
      <c r="AS29" s="152"/>
      <c r="AT29" s="153"/>
      <c r="AU29" s="152"/>
      <c r="AV29" s="152"/>
      <c r="AW29" s="153"/>
      <c r="AX29" s="152"/>
      <c r="AY29" s="153"/>
      <c r="AZ29" s="152"/>
      <c r="BA29" s="152"/>
      <c r="BB29" s="153"/>
      <c r="BC29" s="152"/>
      <c r="BD29" s="153"/>
      <c r="BE29" s="152"/>
      <c r="BF29" s="152"/>
      <c r="BG29" s="153"/>
      <c r="BH29" s="152"/>
      <c r="BI29" s="153"/>
      <c r="BJ29" s="152"/>
      <c r="BK29" s="152"/>
      <c r="BL29" s="153"/>
      <c r="BM29" s="152"/>
      <c r="BN29" s="153"/>
      <c r="BO29" s="152"/>
      <c r="BP29" s="152"/>
      <c r="BQ29" s="153"/>
      <c r="BR29" s="152"/>
      <c r="BS29" s="153"/>
      <c r="BT29" s="152"/>
      <c r="BU29" s="152"/>
      <c r="BV29" s="153"/>
      <c r="BW29" s="152"/>
      <c r="BX29" s="153"/>
      <c r="BZ29" s="152"/>
      <c r="CA29" s="153"/>
      <c r="CB29" s="152"/>
      <c r="CC29" s="153"/>
      <c r="CE29" s="152"/>
      <c r="CF29" s="153"/>
      <c r="CG29" s="152"/>
      <c r="CH29" s="153"/>
      <c r="CJ29" s="152"/>
      <c r="CK29" s="153"/>
      <c r="CL29" s="152"/>
      <c r="CM29" s="153"/>
      <c r="CO29" s="152"/>
      <c r="CP29" s="153"/>
      <c r="CQ29" s="152"/>
      <c r="CR29" s="153"/>
      <c r="CT29" s="234"/>
      <c r="CU29" s="273"/>
      <c r="CV29" s="234"/>
      <c r="CW29" s="273"/>
      <c r="CY29" s="234">
        <f>51+42+18</f>
        <v>111</v>
      </c>
      <c r="CZ29" s="273">
        <f>32+42+40</f>
        <v>114</v>
      </c>
      <c r="DA29" s="234">
        <f>42+42+14</f>
        <v>98</v>
      </c>
      <c r="DB29" s="273"/>
    </row>
    <row r="30" spans="1:106" x14ac:dyDescent="0.2">
      <c r="A30" s="11" t="s">
        <v>77</v>
      </c>
      <c r="C30" s="152">
        <v>24.697986577181208</v>
      </c>
      <c r="D30" s="153">
        <v>36.107382550335572</v>
      </c>
      <c r="E30" s="152">
        <v>32.348993288590606</v>
      </c>
      <c r="F30" s="153">
        <v>29.261744966442951</v>
      </c>
      <c r="G30" s="154"/>
      <c r="H30" s="152">
        <v>63.624161073825505</v>
      </c>
      <c r="I30" s="153">
        <v>103.89261744966443</v>
      </c>
      <c r="J30" s="152">
        <v>76.77852348993288</v>
      </c>
      <c r="K30" s="153">
        <v>83.758389261744966</v>
      </c>
      <c r="L30" s="154"/>
      <c r="M30" s="152">
        <v>88.724832214765101</v>
      </c>
      <c r="N30" s="153">
        <v>119.32885906040268</v>
      </c>
      <c r="O30" s="152">
        <v>125.7718120805369</v>
      </c>
      <c r="P30" s="153">
        <v>161.74496644295303</v>
      </c>
      <c r="Q30" s="154"/>
      <c r="R30" s="152">
        <v>169.93288590604027</v>
      </c>
      <c r="S30" s="153">
        <v>233.69127516778522</v>
      </c>
      <c r="T30" s="152">
        <v>223.35570469798657</v>
      </c>
      <c r="U30" s="153">
        <v>189.93288590604027</v>
      </c>
      <c r="V30" s="154"/>
      <c r="W30" s="152">
        <v>166.84563758389262</v>
      </c>
      <c r="X30" s="153">
        <v>110.87248322147651</v>
      </c>
      <c r="Y30" s="152">
        <v>83.087248322147644</v>
      </c>
      <c r="Z30" s="153">
        <v>124.29530201342281</v>
      </c>
      <c r="AA30" s="152"/>
      <c r="AB30" s="152">
        <v>151.81208053691276</v>
      </c>
      <c r="AC30" s="153">
        <v>179.59731543624162</v>
      </c>
      <c r="AD30" s="152">
        <v>200.13422818791946</v>
      </c>
      <c r="AE30" s="153">
        <v>128.45637583892616</v>
      </c>
      <c r="AF30" s="152"/>
      <c r="AG30" s="152">
        <v>138.38926174496643</v>
      </c>
      <c r="AH30" s="153">
        <v>145.63758389261744</v>
      </c>
      <c r="AI30" s="152">
        <v>164.69798657718121</v>
      </c>
      <c r="AJ30" s="153">
        <v>161.47651006711408</v>
      </c>
      <c r="AK30" s="152"/>
      <c r="AL30" s="152">
        <v>135.30201342281879</v>
      </c>
      <c r="AM30" s="153">
        <v>145.63758389261744</v>
      </c>
      <c r="AN30" s="152">
        <v>145.1006711409396</v>
      </c>
      <c r="AO30" s="153">
        <v>244.69798657718121</v>
      </c>
      <c r="AP30" s="152"/>
      <c r="AQ30" s="152">
        <v>281.07382550335569</v>
      </c>
      <c r="AR30" s="153">
        <v>223.08724832214764</v>
      </c>
      <c r="AS30" s="152">
        <v>204.42953020134229</v>
      </c>
      <c r="AT30" s="153">
        <v>64.429530201342274</v>
      </c>
      <c r="AU30" s="152"/>
      <c r="AV30" s="152">
        <v>59.865771812080538</v>
      </c>
      <c r="AW30" s="153">
        <v>58.120805369127517</v>
      </c>
      <c r="AX30" s="152">
        <v>48.322147651006709</v>
      </c>
      <c r="AY30" s="153">
        <v>35.973154362416103</v>
      </c>
      <c r="AZ30" s="152"/>
      <c r="BA30" s="152">
        <v>19.19463087248322</v>
      </c>
      <c r="BB30" s="153">
        <v>15.436241610738255</v>
      </c>
      <c r="BC30" s="152">
        <v>13.020134228187919</v>
      </c>
      <c r="BD30" s="153">
        <v>11.6</v>
      </c>
      <c r="BE30" s="152"/>
      <c r="BF30" s="152">
        <v>15.2</v>
      </c>
      <c r="BG30" s="153">
        <v>16.3</v>
      </c>
      <c r="BH30" s="152">
        <v>15.7</v>
      </c>
      <c r="BI30" s="153">
        <v>10.5</v>
      </c>
      <c r="BJ30" s="152"/>
      <c r="BK30" s="152">
        <v>12.8</v>
      </c>
      <c r="BL30" s="153">
        <v>27.4</v>
      </c>
      <c r="BM30" s="152">
        <v>22.3</v>
      </c>
      <c r="BN30" s="153">
        <v>7.2</v>
      </c>
      <c r="BO30" s="152"/>
      <c r="BP30" s="152">
        <v>6.5</v>
      </c>
      <c r="BQ30" s="153">
        <v>7.3</v>
      </c>
      <c r="BR30" s="152">
        <v>4.9000000000000004</v>
      </c>
      <c r="BS30" s="153">
        <v>8.1999999999999993</v>
      </c>
      <c r="BT30" s="152"/>
      <c r="BU30" s="152">
        <f>5.8+5</f>
        <v>10.8</v>
      </c>
      <c r="BV30" s="153">
        <f>7.1+4.5</f>
        <v>11.6</v>
      </c>
      <c r="BW30" s="152">
        <f>6+4.7</f>
        <v>10.7</v>
      </c>
      <c r="BX30" s="153">
        <f>5.2+6</f>
        <v>11.2</v>
      </c>
      <c r="BZ30" s="152">
        <v>30.1</v>
      </c>
      <c r="CA30" s="153">
        <v>21.5</v>
      </c>
      <c r="CB30" s="152">
        <v>11.7</v>
      </c>
      <c r="CC30" s="153">
        <v>12.8</v>
      </c>
      <c r="CE30" s="152">
        <v>12.8</v>
      </c>
      <c r="CF30" s="153">
        <v>13</v>
      </c>
      <c r="CG30" s="152">
        <v>14</v>
      </c>
      <c r="CH30" s="153">
        <v>17.5</v>
      </c>
      <c r="CJ30" s="152">
        <v>14.8</v>
      </c>
      <c r="CK30" s="153">
        <v>14.7</v>
      </c>
      <c r="CL30" s="152">
        <v>13.5</v>
      </c>
      <c r="CM30" s="153">
        <v>14.9</v>
      </c>
      <c r="CO30" s="152">
        <v>15.5</v>
      </c>
      <c r="CP30" s="153">
        <v>10.3</v>
      </c>
      <c r="CQ30" s="152">
        <v>9.8000000000000007</v>
      </c>
      <c r="CR30" s="153">
        <v>11.9</v>
      </c>
      <c r="CT30" s="234">
        <v>13</v>
      </c>
      <c r="CU30" s="273">
        <v>24</v>
      </c>
      <c r="CV30" s="234">
        <v>14</v>
      </c>
      <c r="CW30" s="273">
        <v>17</v>
      </c>
      <c r="CY30" s="234">
        <v>17</v>
      </c>
      <c r="CZ30" s="273">
        <v>15</v>
      </c>
      <c r="DA30" s="234">
        <v>17</v>
      </c>
      <c r="DB30" s="273"/>
    </row>
    <row r="31" spans="1:106" x14ac:dyDescent="0.2">
      <c r="A31" s="11" t="s">
        <v>220</v>
      </c>
      <c r="C31" s="152"/>
      <c r="D31" s="153"/>
      <c r="E31" s="152"/>
      <c r="F31" s="153"/>
      <c r="G31" s="154"/>
      <c r="H31" s="152"/>
      <c r="I31" s="153"/>
      <c r="J31" s="152"/>
      <c r="K31" s="153"/>
      <c r="L31" s="154"/>
      <c r="M31" s="152"/>
      <c r="N31" s="153"/>
      <c r="O31" s="152"/>
      <c r="P31" s="153"/>
      <c r="Q31" s="154"/>
      <c r="R31" s="152"/>
      <c r="S31" s="153"/>
      <c r="T31" s="152"/>
      <c r="U31" s="153"/>
      <c r="V31" s="154"/>
      <c r="W31" s="152"/>
      <c r="X31" s="153"/>
      <c r="Y31" s="152"/>
      <c r="Z31" s="153"/>
      <c r="AA31" s="152"/>
      <c r="AB31" s="152"/>
      <c r="AC31" s="153"/>
      <c r="AD31" s="152"/>
      <c r="AE31" s="153"/>
      <c r="AF31" s="152"/>
      <c r="AG31" s="152"/>
      <c r="AH31" s="153"/>
      <c r="AI31" s="152"/>
      <c r="AJ31" s="153"/>
      <c r="AK31" s="152"/>
      <c r="AL31" s="152"/>
      <c r="AM31" s="153"/>
      <c r="AN31" s="152"/>
      <c r="AO31" s="153"/>
      <c r="AP31" s="152"/>
      <c r="AQ31" s="152"/>
      <c r="AR31" s="153"/>
      <c r="AS31" s="152"/>
      <c r="AT31" s="153"/>
      <c r="AU31" s="152"/>
      <c r="AV31" s="152"/>
      <c r="AW31" s="153"/>
      <c r="AX31" s="152"/>
      <c r="AY31" s="153"/>
      <c r="AZ31" s="152"/>
      <c r="BA31" s="152"/>
      <c r="BB31" s="153"/>
      <c r="BC31" s="152"/>
      <c r="BD31" s="153"/>
      <c r="BE31" s="152"/>
      <c r="BF31" s="152"/>
      <c r="BG31" s="153"/>
      <c r="BH31" s="152"/>
      <c r="BI31" s="153"/>
      <c r="BJ31" s="152"/>
      <c r="BK31" s="152"/>
      <c r="BL31" s="153"/>
      <c r="BM31" s="152"/>
      <c r="BN31" s="153"/>
      <c r="BO31" s="152"/>
      <c r="BP31" s="152"/>
      <c r="BQ31" s="153"/>
      <c r="BR31" s="152"/>
      <c r="BS31" s="153"/>
      <c r="BT31" s="152"/>
      <c r="BU31" s="152"/>
      <c r="BV31" s="153"/>
      <c r="BW31" s="152"/>
      <c r="BX31" s="153"/>
      <c r="BZ31" s="152"/>
      <c r="CA31" s="153"/>
      <c r="CB31" s="152"/>
      <c r="CC31" s="153"/>
      <c r="CE31" s="152"/>
      <c r="CF31" s="153"/>
      <c r="CG31" s="152"/>
      <c r="CH31" s="153"/>
      <c r="CJ31" s="152"/>
      <c r="CK31" s="153"/>
      <c r="CL31" s="152"/>
      <c r="CM31" s="153"/>
      <c r="CO31" s="152"/>
      <c r="CP31" s="153"/>
      <c r="CQ31" s="152"/>
      <c r="CR31" s="153"/>
      <c r="CT31" s="234"/>
      <c r="CU31" s="273"/>
      <c r="CV31" s="234"/>
      <c r="CW31" s="273"/>
      <c r="CY31" s="234">
        <v>738</v>
      </c>
      <c r="CZ31" s="273">
        <v>763</v>
      </c>
      <c r="DA31" s="234">
        <v>664</v>
      </c>
      <c r="DB31" s="273"/>
    </row>
    <row r="32" spans="1:106" x14ac:dyDescent="0.2">
      <c r="A32" s="11" t="s">
        <v>61</v>
      </c>
      <c r="C32" s="152">
        <v>251.27516778523488</v>
      </c>
      <c r="D32" s="153">
        <v>263.75838926174498</v>
      </c>
      <c r="E32" s="152">
        <v>255.57046979865771</v>
      </c>
      <c r="F32" s="153">
        <v>258.79194630872485</v>
      </c>
      <c r="G32" s="154"/>
      <c r="H32" s="152">
        <v>255.30201342281879</v>
      </c>
      <c r="I32" s="153">
        <v>300.13422818791946</v>
      </c>
      <c r="J32" s="152">
        <v>313.95973154362417</v>
      </c>
      <c r="K32" s="153">
        <v>285.36912751677852</v>
      </c>
      <c r="L32" s="154"/>
      <c r="M32" s="152">
        <v>317.18120805369125</v>
      </c>
      <c r="N32" s="153">
        <v>366.44295302013421</v>
      </c>
      <c r="O32" s="152">
        <v>409.93288590604027</v>
      </c>
      <c r="P32" s="153">
        <f>(1126+1668)/7.45</f>
        <v>375.03355704697987</v>
      </c>
      <c r="Q32" s="154"/>
      <c r="R32" s="152">
        <v>415.30201342281879</v>
      </c>
      <c r="S32" s="153">
        <v>418.25503355704694</v>
      </c>
      <c r="T32" s="152">
        <v>410.20134228187919</v>
      </c>
      <c r="U32" s="153">
        <f>(2998+109+139)/7.45</f>
        <v>435.70469798657717</v>
      </c>
      <c r="V32" s="154"/>
      <c r="W32" s="152">
        <v>441.07382550335569</v>
      </c>
      <c r="X32" s="153">
        <f>(117.2+984.1+1998.2)/7.45</f>
        <v>416.04026845637583</v>
      </c>
      <c r="Y32" s="152">
        <v>429.66442953020135</v>
      </c>
      <c r="Z32" s="153">
        <v>397.31543624161071</v>
      </c>
      <c r="AA32" s="152"/>
      <c r="AB32" s="152">
        <v>452.48322147651004</v>
      </c>
      <c r="AC32" s="153">
        <v>466.17449664429529</v>
      </c>
      <c r="AD32" s="152">
        <v>459.32885906040269</v>
      </c>
      <c r="AE32" s="153">
        <v>463.35570469798654</v>
      </c>
      <c r="AF32" s="152"/>
      <c r="AG32" s="152">
        <v>534.89932885906035</v>
      </c>
      <c r="AH32" s="153">
        <v>508.85906040268458</v>
      </c>
      <c r="AI32" s="152">
        <v>568.05369127516781</v>
      </c>
      <c r="AJ32" s="153">
        <v>537.44966442953023</v>
      </c>
      <c r="AK32" s="152"/>
      <c r="AL32" s="152">
        <v>564.29530201342277</v>
      </c>
      <c r="AM32" s="153">
        <v>578.92617449664431</v>
      </c>
      <c r="AN32" s="152">
        <v>524.42953020134223</v>
      </c>
      <c r="AO32" s="153">
        <v>559.86577181208054</v>
      </c>
      <c r="AP32" s="152"/>
      <c r="AQ32" s="152">
        <v>561.07382550335569</v>
      </c>
      <c r="AR32" s="153">
        <v>494.36241610738256</v>
      </c>
      <c r="AS32" s="152">
        <v>538.38926174496646</v>
      </c>
      <c r="AT32" s="153">
        <v>534.89932885906035</v>
      </c>
      <c r="AU32" s="152"/>
      <c r="AV32" s="152">
        <v>578.12080536912754</v>
      </c>
      <c r="AW32" s="153">
        <v>566.71140939597319</v>
      </c>
      <c r="AX32" s="152">
        <v>567.3825503355705</v>
      </c>
      <c r="AY32" s="153">
        <v>523.75838926174492</v>
      </c>
      <c r="AZ32" s="152"/>
      <c r="BA32" s="152">
        <v>665.36912751677846</v>
      </c>
      <c r="BB32" s="153">
        <v>672.34899328859058</v>
      </c>
      <c r="BC32" s="152">
        <v>601.47651006711408</v>
      </c>
      <c r="BD32" s="153">
        <v>601.1</v>
      </c>
      <c r="BE32" s="152"/>
      <c r="BF32" s="152">
        <v>607.29999999999995</v>
      </c>
      <c r="BG32" s="153">
        <v>643.79999999999995</v>
      </c>
      <c r="BH32" s="152">
        <f>568</f>
        <v>568</v>
      </c>
      <c r="BI32" s="153">
        <v>296.60000000000002</v>
      </c>
      <c r="BJ32" s="152"/>
      <c r="BK32" s="152">
        <v>632</v>
      </c>
      <c r="BL32" s="153">
        <v>605.4</v>
      </c>
      <c r="BM32" s="152">
        <f>561.1+28</f>
        <v>589.1</v>
      </c>
      <c r="BN32" s="153">
        <f>582.2+11.7+13.5</f>
        <v>607.40000000000009</v>
      </c>
      <c r="BO32" s="152"/>
      <c r="BP32" s="152">
        <f>538.7+15.1</f>
        <v>553.80000000000007</v>
      </c>
      <c r="BQ32" s="153">
        <f>591.4+14.4</f>
        <v>605.79999999999995</v>
      </c>
      <c r="BR32" s="152">
        <f>551.7+14.1</f>
        <v>565.80000000000007</v>
      </c>
      <c r="BS32" s="153">
        <f>558.3+0.8+13.2</f>
        <v>572.29999999999995</v>
      </c>
      <c r="BT32" s="152"/>
      <c r="BU32" s="152">
        <f>526.9+14.2</f>
        <v>541.1</v>
      </c>
      <c r="BV32" s="153">
        <f>580.4+16.8</f>
        <v>597.19999999999993</v>
      </c>
      <c r="BW32" s="152">
        <f>602.9+14.8</f>
        <v>617.69999999999993</v>
      </c>
      <c r="BX32" s="153">
        <f>286.3+139+186.3+1.9+20.9</f>
        <v>634.4</v>
      </c>
      <c r="BZ32" s="152">
        <f>581.7+16.6</f>
        <v>598.30000000000007</v>
      </c>
      <c r="CA32" s="153">
        <f>582.9+26.9</f>
        <v>609.79999999999995</v>
      </c>
      <c r="CB32" s="152">
        <f>716+19.4</f>
        <v>735.4</v>
      </c>
      <c r="CC32" s="153">
        <f>273.2+168+296.5+2.1+13</f>
        <v>752.80000000000007</v>
      </c>
      <c r="CE32" s="152">
        <f>309.3+480.1+17.7</f>
        <v>807.10000000000014</v>
      </c>
      <c r="CF32" s="153">
        <f>350.4+528.9+12.6</f>
        <v>891.9</v>
      </c>
      <c r="CG32" s="152">
        <f>373.6+506.1+47.3</f>
        <v>927</v>
      </c>
      <c r="CH32" s="153">
        <f>341.8+170.4+459.3+10.5+63.3</f>
        <v>1045.3</v>
      </c>
      <c r="CJ32" s="152">
        <f>379.6+191.6+452.4+12.5+48.5</f>
        <v>1084.5999999999999</v>
      </c>
      <c r="CK32" s="153">
        <f>400.5+241.3+474.2+16.4+45.7</f>
        <v>1178.1000000000001</v>
      </c>
      <c r="CL32" s="152">
        <v>1198.5</v>
      </c>
      <c r="CM32" s="153">
        <f>351+223.7+677.6+9.6+22.7</f>
        <v>1284.6000000000001</v>
      </c>
      <c r="CO32" s="152">
        <f>364.4+233.6+636.9+9.1+20.8+32</f>
        <v>1296.8</v>
      </c>
      <c r="CP32" s="153">
        <f>387.5+356.6+843.7+38.1+19.3</f>
        <v>1645.2</v>
      </c>
      <c r="CQ32" s="152">
        <f>314.1+995.1+28.7+21.6+376.7</f>
        <v>1736.2</v>
      </c>
      <c r="CR32" s="153">
        <f>364.4+238.9+1036.6+26.9+29.8</f>
        <v>1696.6</v>
      </c>
      <c r="CT32" s="234">
        <f>404+156+140+1001+55+33</f>
        <v>1789</v>
      </c>
      <c r="CU32" s="273">
        <f>2466-CU30</f>
        <v>2442</v>
      </c>
      <c r="CV32" s="234">
        <f>2309-CV30</f>
        <v>2295</v>
      </c>
      <c r="CW32" s="273">
        <f>34+42+1016+51+534+291+51+626+60+28</f>
        <v>2733</v>
      </c>
      <c r="CY32" s="234">
        <f>541+237+68+64+33</f>
        <v>943</v>
      </c>
      <c r="CZ32" s="273">
        <f>521+29+72+28+272</f>
        <v>922</v>
      </c>
      <c r="DA32" s="234">
        <f>516+248+64+87+37</f>
        <v>952</v>
      </c>
      <c r="DB32" s="273"/>
    </row>
    <row r="33" spans="1:106" x14ac:dyDescent="0.2">
      <c r="A33" s="11" t="s">
        <v>137</v>
      </c>
      <c r="C33" s="152"/>
      <c r="D33" s="153"/>
      <c r="E33" s="152"/>
      <c r="F33" s="153"/>
      <c r="G33" s="154"/>
      <c r="H33" s="152"/>
      <c r="I33" s="153"/>
      <c r="J33" s="152"/>
      <c r="K33" s="153"/>
      <c r="L33" s="154"/>
      <c r="M33" s="152"/>
      <c r="N33" s="153"/>
      <c r="O33" s="152"/>
      <c r="P33" s="153"/>
      <c r="Q33" s="154"/>
      <c r="R33" s="152"/>
      <c r="S33" s="153"/>
      <c r="T33" s="152"/>
      <c r="U33" s="153"/>
      <c r="V33" s="154"/>
      <c r="W33" s="152"/>
      <c r="X33" s="153"/>
      <c r="Y33" s="152"/>
      <c r="Z33" s="153"/>
      <c r="AA33" s="152"/>
      <c r="AB33" s="152"/>
      <c r="AC33" s="153"/>
      <c r="AD33" s="152"/>
      <c r="AE33" s="153"/>
      <c r="AF33" s="152"/>
      <c r="AG33" s="152"/>
      <c r="AH33" s="153"/>
      <c r="AI33" s="152"/>
      <c r="AJ33" s="153"/>
      <c r="AK33" s="152"/>
      <c r="AL33" s="152"/>
      <c r="AM33" s="153"/>
      <c r="AN33" s="152"/>
      <c r="AO33" s="153"/>
      <c r="AP33" s="152"/>
      <c r="AQ33" s="152"/>
      <c r="AR33" s="153"/>
      <c r="AS33" s="152"/>
      <c r="AT33" s="153"/>
      <c r="AU33" s="152"/>
      <c r="AV33" s="152"/>
      <c r="AW33" s="153"/>
      <c r="AX33" s="152"/>
      <c r="AY33" s="153"/>
      <c r="AZ33" s="152"/>
      <c r="BA33" s="152"/>
      <c r="BB33" s="153"/>
      <c r="BC33" s="152"/>
      <c r="BD33" s="153"/>
      <c r="BE33" s="152"/>
      <c r="BF33" s="152"/>
      <c r="BG33" s="153"/>
      <c r="BH33" s="152">
        <v>81.8</v>
      </c>
      <c r="BI33" s="153">
        <f>307.1+24.6</f>
        <v>331.70000000000005</v>
      </c>
      <c r="BJ33" s="152"/>
      <c r="BK33" s="152">
        <v>305.8</v>
      </c>
      <c r="BL33" s="153">
        <v>293.10000000000002</v>
      </c>
      <c r="BM33" s="152">
        <v>298</v>
      </c>
      <c r="BN33" s="153">
        <v>0</v>
      </c>
      <c r="BO33" s="152"/>
      <c r="BP33" s="152"/>
      <c r="BQ33" s="153"/>
      <c r="BR33" s="152"/>
      <c r="BS33" s="153"/>
      <c r="BT33" s="152"/>
      <c r="BU33" s="152"/>
      <c r="BV33" s="153"/>
      <c r="BW33" s="152"/>
      <c r="BX33" s="153"/>
      <c r="BZ33" s="152"/>
      <c r="CA33" s="153"/>
      <c r="CB33" s="152"/>
      <c r="CC33" s="153"/>
      <c r="CE33" s="152"/>
      <c r="CF33" s="153"/>
      <c r="CG33" s="152"/>
      <c r="CH33" s="153"/>
      <c r="CJ33" s="152"/>
      <c r="CK33" s="153">
        <v>23.6</v>
      </c>
      <c r="CL33" s="152">
        <v>23.1</v>
      </c>
      <c r="CM33" s="153">
        <v>35.6</v>
      </c>
      <c r="CO33" s="152">
        <v>32</v>
      </c>
      <c r="CP33" s="153">
        <v>34</v>
      </c>
      <c r="CQ33" s="152">
        <v>37.799999999999997</v>
      </c>
      <c r="CR33" s="153">
        <v>37.6</v>
      </c>
      <c r="CT33" s="234">
        <v>33</v>
      </c>
      <c r="CU33" s="273">
        <v>0</v>
      </c>
      <c r="CV33" s="234"/>
      <c r="CW33" s="273"/>
      <c r="CY33" s="234">
        <v>0</v>
      </c>
      <c r="CZ33" s="273">
        <v>0</v>
      </c>
      <c r="DA33" s="234"/>
      <c r="DB33" s="273"/>
    </row>
    <row r="34" spans="1:106" s="79" customFormat="1" x14ac:dyDescent="0.2">
      <c r="A34" s="79" t="s">
        <v>62</v>
      </c>
      <c r="B34" s="80"/>
      <c r="C34" s="158">
        <f>SUM(C25:C32)</f>
        <v>794.89932885906035</v>
      </c>
      <c r="D34" s="159">
        <f>SUM(D25:D32)</f>
        <v>809.530201342282</v>
      </c>
      <c r="E34" s="158">
        <f>SUM(E25:E32)</f>
        <v>819.06040268456377</v>
      </c>
      <c r="F34" s="159">
        <f>SUM(F25:F32)</f>
        <v>829.1275167785235</v>
      </c>
      <c r="G34" s="160"/>
      <c r="H34" s="158">
        <f>SUM(H25:H32)</f>
        <v>866.71140939597308</v>
      </c>
      <c r="I34" s="159">
        <f>SUM(I25:I32)</f>
        <v>928.32214765100673</v>
      </c>
      <c r="J34" s="158">
        <f>SUM(J25:J32)</f>
        <v>924.83221476510062</v>
      </c>
      <c r="K34" s="159">
        <f>SUM(K25:K32)</f>
        <v>986.57718120805362</v>
      </c>
      <c r="L34" s="160"/>
      <c r="M34" s="158">
        <f>SUM(M25:M32)</f>
        <v>1072.4832214765099</v>
      </c>
      <c r="N34" s="159">
        <f>SUM(N25:N32)</f>
        <v>1152.7516778523488</v>
      </c>
      <c r="O34" s="158">
        <f>SUM(O25:O32)</f>
        <v>1229.6644295302012</v>
      </c>
      <c r="P34" s="159">
        <f>SUM(P25:P32)</f>
        <v>1221.3422818791946</v>
      </c>
      <c r="Q34" s="160"/>
      <c r="R34" s="158">
        <f>SUM(R25:R32)</f>
        <v>1295.9731543624162</v>
      </c>
      <c r="S34" s="159">
        <f>SUM(S25:S32)</f>
        <v>1373.2885906040267</v>
      </c>
      <c r="T34" s="158">
        <f>SUM(T25:T32)</f>
        <v>1383.7583892617449</v>
      </c>
      <c r="U34" s="159">
        <f>SUM(U25:U32)</f>
        <v>1333.5570469798656</v>
      </c>
      <c r="V34" s="160"/>
      <c r="W34" s="158">
        <f>SUM(W25:W32)</f>
        <v>1306.7114093959731</v>
      </c>
      <c r="X34" s="159">
        <f>SUM(X25:X32)</f>
        <v>1327.3691275167787</v>
      </c>
      <c r="Y34" s="158">
        <f>SUM(Y25:Y32)</f>
        <v>1354.7651006711408</v>
      </c>
      <c r="Z34" s="159">
        <f>SUM(Z25:Z32)</f>
        <v>1358.9261744966443</v>
      </c>
      <c r="AA34" s="158"/>
      <c r="AB34" s="158">
        <f>SUM(AB25:AB32)</f>
        <v>1498.1208053691275</v>
      </c>
      <c r="AC34" s="159">
        <f>SUM(AC25:AC32)</f>
        <v>1628.724832214765</v>
      </c>
      <c r="AD34" s="158">
        <f>SUM(AD25:AD32)</f>
        <v>1658.1208053691275</v>
      </c>
      <c r="AE34" s="159">
        <f>SUM(AE25:AE32)</f>
        <v>1685.3691275167785</v>
      </c>
      <c r="AF34" s="158"/>
      <c r="AG34" s="158">
        <f>SUM(AG25:AG32)</f>
        <v>1833.5570469798658</v>
      </c>
      <c r="AH34" s="159">
        <f>SUM(AH25:AH32)</f>
        <v>1816.1073825503354</v>
      </c>
      <c r="AI34" s="158">
        <f>SUM(AI25:AI32)</f>
        <v>1826.4429530201342</v>
      </c>
      <c r="AJ34" s="159">
        <f>SUM(AJ25:AJ32)</f>
        <v>1803.8926174496644</v>
      </c>
      <c r="AK34" s="158"/>
      <c r="AL34" s="158">
        <f>SUM(AL25:AL32)</f>
        <v>1848.4563758389261</v>
      </c>
      <c r="AM34" s="159">
        <f>SUM(AM25:AM32)</f>
        <v>1796.6442953020132</v>
      </c>
      <c r="AN34" s="158">
        <f>SUM(AN25:AN32)</f>
        <v>1772.8859060402683</v>
      </c>
      <c r="AO34" s="159">
        <f>SUM(AO25:AO32)</f>
        <v>1736.3758389261745</v>
      </c>
      <c r="AP34" s="158"/>
      <c r="AQ34" s="158">
        <f>SUM(AQ25:AQ32)</f>
        <v>1833.6912751677851</v>
      </c>
      <c r="AR34" s="159">
        <f>SUM(AR25:AR32)</f>
        <v>1791.275167785235</v>
      </c>
      <c r="AS34" s="158">
        <f>SUM(AS25:AS32)</f>
        <v>1816.6442953020135</v>
      </c>
      <c r="AT34" s="159">
        <f>SUM(AT25:AT32)</f>
        <v>1744.2416107382546</v>
      </c>
      <c r="AU34" s="158"/>
      <c r="AV34" s="158">
        <f>SUM(AV25:AV32)</f>
        <v>1763.489932885906</v>
      </c>
      <c r="AW34" s="159">
        <f>SUM(AW25:AW32)</f>
        <v>1751.8120805369126</v>
      </c>
      <c r="AX34" s="158">
        <f>SUM(AX25:AX32)</f>
        <v>1802.9530201342282</v>
      </c>
      <c r="AY34" s="159">
        <f>SUM(AY25:AY32)</f>
        <v>1656.1073825503356</v>
      </c>
      <c r="AZ34" s="158"/>
      <c r="BA34" s="158">
        <f>SUM(BA25:BA32)</f>
        <v>1851.4093959731545</v>
      </c>
      <c r="BB34" s="159">
        <f>SUM(BB25:BB32)</f>
        <v>1860.6711409395971</v>
      </c>
      <c r="BC34" s="158">
        <f>SUM(BC25:BC32)</f>
        <v>1735.8389261744967</v>
      </c>
      <c r="BD34" s="159">
        <f>SUM(BD25:BD32)</f>
        <v>1683.6</v>
      </c>
      <c r="BE34" s="158"/>
      <c r="BF34" s="158">
        <f>SUM(BF25:BF33)</f>
        <v>1736.4395973154362</v>
      </c>
      <c r="BG34" s="159">
        <f>SUM(BG25:BG33)</f>
        <v>1787.1999999999998</v>
      </c>
      <c r="BH34" s="158">
        <f>SUM(BH25:BH33)</f>
        <v>1728.6</v>
      </c>
      <c r="BI34" s="159">
        <f>SUM(BI25:BI33)</f>
        <v>1747.1000000000001</v>
      </c>
      <c r="BJ34" s="158"/>
      <c r="BK34" s="158">
        <f>SUM(BK25:BK33)</f>
        <v>2682.4000000000005</v>
      </c>
      <c r="BL34" s="159">
        <f>SUM(BL25:BL33)</f>
        <v>2808.9</v>
      </c>
      <c r="BM34" s="158">
        <f>SUM(BM25:BM33)</f>
        <v>2785.5</v>
      </c>
      <c r="BN34" s="159">
        <f>SUM(BN25:BN33)</f>
        <v>1904.6000000000001</v>
      </c>
      <c r="BO34" s="158"/>
      <c r="BP34" s="158">
        <f>SUM(BP25:BP33)</f>
        <v>1923.3000000000002</v>
      </c>
      <c r="BQ34" s="159">
        <f>SUM(BQ25:BQ33)</f>
        <v>1926.4</v>
      </c>
      <c r="BR34" s="158">
        <f>SUM(BR25:BR33)</f>
        <v>1938.0000000000005</v>
      </c>
      <c r="BS34" s="159">
        <f>SUM(BS25:BS33)</f>
        <v>1859.1999999999998</v>
      </c>
      <c r="BT34" s="158"/>
      <c r="BU34" s="158">
        <f>SUM(BU25:BU33)</f>
        <v>1867.8000000000002</v>
      </c>
      <c r="BV34" s="159">
        <f>SUM(BV25:BV33)</f>
        <v>1895.8999999999996</v>
      </c>
      <c r="BW34" s="158">
        <f>SUM(BW25:BW33)</f>
        <v>1886.2999999999997</v>
      </c>
      <c r="BX34" s="159">
        <f>SUM(BX25:BX33)</f>
        <v>1789.4</v>
      </c>
      <c r="BZ34" s="158">
        <f>SUM(BZ25:BZ33)</f>
        <v>1795.8000000000002</v>
      </c>
      <c r="CA34" s="159">
        <f>SUM(CA25:CA33)</f>
        <v>1901.8</v>
      </c>
      <c r="CB34" s="158">
        <f>SUM(CB25:CB33)</f>
        <v>2019.1</v>
      </c>
      <c r="CC34" s="159">
        <f>SUM(CC25:CC33)</f>
        <v>2150.6</v>
      </c>
      <c r="CE34" s="158">
        <f>SUM(CE25:CE33)</f>
        <v>2245.5</v>
      </c>
      <c r="CF34" s="159">
        <f t="shared" ref="CF34:CH34" si="4">SUM(CF25:CF33)</f>
        <v>2405</v>
      </c>
      <c r="CG34" s="158">
        <f t="shared" si="4"/>
        <v>2397.1</v>
      </c>
      <c r="CH34" s="159">
        <f t="shared" si="4"/>
        <v>2553.4</v>
      </c>
      <c r="CJ34" s="158">
        <f>SUM(CJ25:CJ33)</f>
        <v>2677.3999999999996</v>
      </c>
      <c r="CK34" s="159">
        <f>SUM(CK25:CK33)</f>
        <v>2628.1</v>
      </c>
      <c r="CL34" s="158">
        <f t="shared" ref="CL34:CM34" si="5">SUM(CL25:CL33)</f>
        <v>2597.2999999999997</v>
      </c>
      <c r="CM34" s="159">
        <f t="shared" si="5"/>
        <v>2767.4</v>
      </c>
      <c r="CO34" s="158">
        <f>SUM(CO25:CO33)</f>
        <v>2798.5</v>
      </c>
      <c r="CP34" s="159">
        <f>+SUM(CP25:CP33)</f>
        <v>3044.3</v>
      </c>
      <c r="CQ34" s="158">
        <f>SUM(CQ25:CQ33)</f>
        <v>3562.1000000000004</v>
      </c>
      <c r="CR34" s="159">
        <f>+SUM(CR25:CR33)</f>
        <v>3604</v>
      </c>
      <c r="CT34" s="236">
        <f>SUM(CT25:CT33)</f>
        <v>3707</v>
      </c>
      <c r="CU34" s="275">
        <f>+SUM(CU25:CU33)</f>
        <v>4597</v>
      </c>
      <c r="CV34" s="236">
        <f>SUM(CV25:CV33)</f>
        <v>4486</v>
      </c>
      <c r="CW34" s="275">
        <f>+CW25+CW26+CW28+CW30+CW32</f>
        <v>4859</v>
      </c>
      <c r="CY34" s="236">
        <f>SUM(CY25:CY33)</f>
        <v>4930</v>
      </c>
      <c r="CZ34" s="275">
        <f>+SUM(CZ25:CZ33)</f>
        <v>4938</v>
      </c>
      <c r="DA34" s="236">
        <f>SUM(DA25:DA33)</f>
        <v>5001</v>
      </c>
      <c r="DB34" s="275"/>
    </row>
    <row r="35" spans="1:106" x14ac:dyDescent="0.2">
      <c r="C35" s="152"/>
      <c r="D35" s="153"/>
      <c r="E35" s="152"/>
      <c r="F35" s="153"/>
      <c r="G35" s="154"/>
      <c r="H35" s="152"/>
      <c r="I35" s="153"/>
      <c r="J35" s="152"/>
      <c r="K35" s="153"/>
      <c r="L35" s="154"/>
      <c r="M35" s="152"/>
      <c r="N35" s="153"/>
      <c r="O35" s="152"/>
      <c r="P35" s="153"/>
      <c r="Q35" s="154"/>
      <c r="R35" s="152"/>
      <c r="S35" s="153"/>
      <c r="T35" s="152"/>
      <c r="U35" s="153"/>
      <c r="V35" s="154"/>
      <c r="W35" s="152"/>
      <c r="X35" s="153"/>
      <c r="Y35" s="152"/>
      <c r="Z35" s="153"/>
      <c r="AA35" s="152"/>
      <c r="AB35" s="152"/>
      <c r="AC35" s="153"/>
      <c r="AD35" s="152"/>
      <c r="AE35" s="153"/>
      <c r="AF35" s="152"/>
      <c r="AG35" s="152"/>
      <c r="AH35" s="153"/>
      <c r="AI35" s="152"/>
      <c r="AJ35" s="153"/>
      <c r="AK35" s="152"/>
      <c r="AL35" s="152"/>
      <c r="AM35" s="153"/>
      <c r="AN35" s="152"/>
      <c r="AO35" s="153"/>
      <c r="AP35" s="152"/>
      <c r="AQ35" s="152"/>
      <c r="AR35" s="153"/>
      <c r="AS35" s="152"/>
      <c r="AT35" s="153"/>
      <c r="AU35" s="152"/>
      <c r="AV35" s="152"/>
      <c r="AW35" s="153"/>
      <c r="AX35" s="152"/>
      <c r="AY35" s="153"/>
      <c r="AZ35" s="152"/>
      <c r="BA35" s="152"/>
      <c r="BB35" s="153"/>
      <c r="BC35" s="152"/>
      <c r="BD35" s="153"/>
      <c r="BE35" s="152"/>
      <c r="BF35" s="152"/>
      <c r="BG35" s="153"/>
      <c r="BH35" s="152"/>
      <c r="BI35" s="153"/>
      <c r="BJ35" s="152"/>
      <c r="BK35" s="152"/>
      <c r="BL35" s="153"/>
      <c r="BM35" s="152"/>
      <c r="BN35" s="153"/>
      <c r="BO35" s="152"/>
      <c r="BP35" s="152"/>
      <c r="BQ35" s="153"/>
      <c r="BR35" s="152"/>
      <c r="BS35" s="153"/>
      <c r="BT35" s="152"/>
      <c r="BU35" s="152"/>
      <c r="BV35" s="153"/>
      <c r="BW35" s="152"/>
      <c r="BX35" s="153"/>
      <c r="BZ35" s="152"/>
      <c r="CA35" s="153"/>
      <c r="CB35" s="152"/>
      <c r="CC35" s="153"/>
      <c r="CE35" s="152"/>
      <c r="CF35" s="153"/>
      <c r="CG35" s="152"/>
      <c r="CH35" s="153"/>
      <c r="CJ35" s="152"/>
      <c r="CK35" s="153"/>
      <c r="CL35" s="152"/>
      <c r="CM35" s="153"/>
      <c r="CO35" s="152"/>
      <c r="CP35" s="153"/>
      <c r="CQ35" s="152"/>
      <c r="CR35" s="153"/>
      <c r="CT35" s="234"/>
      <c r="CU35" s="273"/>
      <c r="CV35" s="234"/>
      <c r="CW35" s="273"/>
      <c r="CY35" s="234"/>
      <c r="CZ35" s="273"/>
      <c r="DA35" s="234"/>
      <c r="DB35" s="273"/>
    </row>
    <row r="36" spans="1:106" x14ac:dyDescent="0.2">
      <c r="A36" s="83"/>
      <c r="B36" s="75"/>
      <c r="C36" s="165"/>
      <c r="D36" s="166"/>
      <c r="E36" s="165"/>
      <c r="F36" s="166"/>
      <c r="G36" s="167"/>
      <c r="H36" s="165"/>
      <c r="I36" s="166"/>
      <c r="J36" s="165"/>
      <c r="K36" s="166"/>
      <c r="L36" s="167"/>
      <c r="M36" s="154"/>
      <c r="N36" s="168"/>
      <c r="O36" s="154"/>
      <c r="P36" s="168"/>
      <c r="Q36" s="167"/>
      <c r="R36" s="167"/>
      <c r="S36" s="169"/>
      <c r="T36" s="167"/>
      <c r="U36" s="169"/>
      <c r="V36" s="167"/>
      <c r="W36" s="154"/>
      <c r="X36" s="168"/>
      <c r="Y36" s="154"/>
      <c r="Z36" s="168"/>
      <c r="AA36" s="152"/>
      <c r="AB36" s="154"/>
      <c r="AC36" s="168"/>
      <c r="AD36" s="154"/>
      <c r="AE36" s="168"/>
      <c r="AF36" s="152"/>
      <c r="AG36" s="154"/>
      <c r="AH36" s="168"/>
      <c r="AI36" s="154"/>
      <c r="AJ36" s="168"/>
      <c r="AK36" s="152"/>
      <c r="AL36" s="154"/>
      <c r="AM36" s="168"/>
      <c r="AN36" s="154"/>
      <c r="AO36" s="168"/>
      <c r="AP36" s="152"/>
      <c r="AQ36" s="154"/>
      <c r="AR36" s="168"/>
      <c r="AS36" s="154"/>
      <c r="AT36" s="168"/>
      <c r="AU36" s="152"/>
      <c r="AV36" s="154"/>
      <c r="AW36" s="168"/>
      <c r="AX36" s="154"/>
      <c r="AY36" s="168"/>
      <c r="AZ36" s="152"/>
      <c r="BA36" s="154"/>
      <c r="BB36" s="168"/>
      <c r="BC36" s="154"/>
      <c r="BD36" s="168"/>
      <c r="BE36" s="152"/>
      <c r="BF36" s="154"/>
      <c r="BG36" s="168"/>
      <c r="BH36" s="154"/>
      <c r="BI36" s="168"/>
      <c r="BJ36" s="152"/>
      <c r="BK36" s="154"/>
      <c r="BL36" s="168"/>
      <c r="BM36" s="154"/>
      <c r="BN36" s="168"/>
      <c r="BO36" s="152"/>
      <c r="BP36" s="154"/>
      <c r="BQ36" s="168"/>
      <c r="BR36" s="154"/>
      <c r="BS36" s="168"/>
      <c r="BT36" s="152"/>
      <c r="BU36" s="154"/>
      <c r="BV36" s="168"/>
      <c r="BW36" s="154"/>
      <c r="BX36" s="168"/>
      <c r="BZ36" s="154"/>
      <c r="CA36" s="168"/>
      <c r="CB36" s="154"/>
      <c r="CC36" s="168"/>
      <c r="CE36" s="154"/>
      <c r="CF36" s="168"/>
      <c r="CG36" s="154"/>
      <c r="CH36" s="168"/>
      <c r="CJ36" s="154"/>
      <c r="CK36" s="168"/>
      <c r="CL36" s="154"/>
      <c r="CM36" s="168"/>
      <c r="CO36" s="154"/>
      <c r="CP36" s="168"/>
      <c r="CQ36" s="154"/>
      <c r="CR36" s="168"/>
      <c r="CT36" s="205"/>
      <c r="CU36" s="277"/>
      <c r="CV36" s="205"/>
      <c r="CW36" s="277"/>
      <c r="CY36" s="205"/>
      <c r="CZ36" s="277"/>
      <c r="DA36" s="205"/>
      <c r="DB36" s="277"/>
    </row>
    <row r="37" spans="1:106" s="86" customFormat="1" x14ac:dyDescent="0.2">
      <c r="A37" s="84" t="s">
        <v>63</v>
      </c>
      <c r="B37" s="85"/>
      <c r="C37" s="170"/>
      <c r="D37" s="171"/>
      <c r="E37" s="170"/>
      <c r="F37" s="171"/>
      <c r="G37" s="172"/>
      <c r="H37" s="170"/>
      <c r="I37" s="171"/>
      <c r="J37" s="170"/>
      <c r="K37" s="171"/>
      <c r="L37" s="172"/>
      <c r="M37" s="170"/>
      <c r="N37" s="171"/>
      <c r="O37" s="170"/>
      <c r="P37" s="171"/>
      <c r="Q37" s="172"/>
      <c r="R37" s="170"/>
      <c r="S37" s="171"/>
      <c r="T37" s="170"/>
      <c r="U37" s="171"/>
      <c r="V37" s="172"/>
      <c r="W37" s="170"/>
      <c r="X37" s="171"/>
      <c r="Y37" s="170"/>
      <c r="Z37" s="171"/>
      <c r="AA37" s="173"/>
      <c r="AB37" s="170"/>
      <c r="AC37" s="171"/>
      <c r="AD37" s="170"/>
      <c r="AE37" s="171"/>
      <c r="AF37" s="173"/>
      <c r="AG37" s="170"/>
      <c r="AH37" s="171"/>
      <c r="AI37" s="170"/>
      <c r="AJ37" s="171"/>
      <c r="AK37" s="173"/>
      <c r="AL37" s="170"/>
      <c r="AM37" s="171"/>
      <c r="AN37" s="170"/>
      <c r="AO37" s="171"/>
      <c r="AP37" s="173"/>
      <c r="AQ37" s="170"/>
      <c r="AR37" s="171"/>
      <c r="AS37" s="170"/>
      <c r="AT37" s="171"/>
      <c r="AU37" s="173"/>
      <c r="AV37" s="170"/>
      <c r="AW37" s="171"/>
      <c r="AX37" s="170"/>
      <c r="AY37" s="171"/>
      <c r="AZ37" s="173"/>
      <c r="BA37" s="170"/>
      <c r="BB37" s="171"/>
      <c r="BC37" s="170"/>
      <c r="BD37" s="171"/>
      <c r="BE37" s="173"/>
      <c r="BF37" s="170"/>
      <c r="BG37" s="171"/>
      <c r="BH37" s="170"/>
      <c r="BI37" s="171"/>
      <c r="BJ37" s="173"/>
      <c r="BK37" s="170"/>
      <c r="BL37" s="171"/>
      <c r="BM37" s="170"/>
      <c r="BN37" s="171"/>
      <c r="BO37" s="173"/>
      <c r="BP37" s="170"/>
      <c r="BQ37" s="171"/>
      <c r="BR37" s="170"/>
      <c r="BS37" s="171"/>
      <c r="BT37" s="173"/>
      <c r="BU37" s="170"/>
      <c r="BV37" s="171"/>
      <c r="BW37" s="170"/>
      <c r="BX37" s="171"/>
      <c r="BZ37" s="170"/>
      <c r="CA37" s="171"/>
      <c r="CB37" s="170"/>
      <c r="CC37" s="171"/>
      <c r="CE37" s="170"/>
      <c r="CF37" s="171"/>
      <c r="CG37" s="170"/>
      <c r="CH37" s="171"/>
      <c r="CJ37" s="170"/>
      <c r="CK37" s="171"/>
      <c r="CL37" s="170"/>
      <c r="CM37" s="171"/>
      <c r="CO37" s="170"/>
      <c r="CP37" s="171"/>
      <c r="CQ37" s="170"/>
      <c r="CR37" s="171"/>
      <c r="CT37" s="238"/>
      <c r="CU37" s="278"/>
      <c r="CV37" s="238"/>
      <c r="CW37" s="278"/>
      <c r="CY37" s="308"/>
      <c r="CZ37" s="278"/>
      <c r="DA37" s="238"/>
      <c r="DB37" s="278"/>
    </row>
    <row r="38" spans="1:106" x14ac:dyDescent="0.2">
      <c r="C38" s="152"/>
      <c r="D38" s="153"/>
      <c r="E38" s="152"/>
      <c r="F38" s="153"/>
      <c r="G38" s="154"/>
      <c r="H38" s="152"/>
      <c r="I38" s="153"/>
      <c r="J38" s="152"/>
      <c r="K38" s="153"/>
      <c r="L38" s="154"/>
      <c r="M38" s="152"/>
      <c r="N38" s="153"/>
      <c r="O38" s="152"/>
      <c r="P38" s="153"/>
      <c r="Q38" s="154"/>
      <c r="R38" s="152"/>
      <c r="S38" s="153"/>
      <c r="T38" s="152"/>
      <c r="U38" s="153"/>
      <c r="V38" s="154"/>
      <c r="W38" s="152"/>
      <c r="X38" s="153"/>
      <c r="Y38" s="152"/>
      <c r="Z38" s="153"/>
      <c r="AA38" s="152"/>
      <c r="AB38" s="152"/>
      <c r="AC38" s="153"/>
      <c r="AD38" s="152"/>
      <c r="AE38" s="153"/>
      <c r="AF38" s="152"/>
      <c r="AG38" s="152"/>
      <c r="AH38" s="153"/>
      <c r="AI38" s="152"/>
      <c r="AJ38" s="153"/>
      <c r="AK38" s="152"/>
      <c r="AL38" s="152"/>
      <c r="AM38" s="153"/>
      <c r="AN38" s="152"/>
      <c r="AO38" s="153"/>
      <c r="AP38" s="152"/>
      <c r="AQ38" s="152"/>
      <c r="AR38" s="153"/>
      <c r="AS38" s="152"/>
      <c r="AT38" s="153"/>
      <c r="AU38" s="152"/>
      <c r="AV38" s="152"/>
      <c r="AW38" s="153"/>
      <c r="AX38" s="152"/>
      <c r="AY38" s="153"/>
      <c r="AZ38" s="152"/>
      <c r="BA38" s="152"/>
      <c r="BB38" s="153"/>
      <c r="BC38" s="152"/>
      <c r="BD38" s="153"/>
      <c r="BE38" s="152"/>
      <c r="BF38" s="152"/>
      <c r="BG38" s="153"/>
      <c r="BH38" s="152"/>
      <c r="BI38" s="153"/>
      <c r="BJ38" s="152"/>
      <c r="BK38" s="152"/>
      <c r="BL38" s="153"/>
      <c r="BM38" s="152"/>
      <c r="BN38" s="153"/>
      <c r="BO38" s="152"/>
      <c r="BP38" s="152"/>
      <c r="BQ38" s="153"/>
      <c r="BR38" s="152"/>
      <c r="BS38" s="153"/>
      <c r="BT38" s="152"/>
      <c r="BU38" s="152"/>
      <c r="BV38" s="153"/>
      <c r="BW38" s="152"/>
      <c r="BX38" s="153"/>
      <c r="BZ38" s="152"/>
      <c r="CA38" s="153"/>
      <c r="CB38" s="152"/>
      <c r="CC38" s="153"/>
      <c r="CE38" s="152"/>
      <c r="CF38" s="153"/>
      <c r="CG38" s="152"/>
      <c r="CH38" s="153"/>
      <c r="CJ38" s="152"/>
      <c r="CK38" s="153"/>
      <c r="CL38" s="152"/>
      <c r="CM38" s="153"/>
      <c r="CO38" s="152"/>
      <c r="CP38" s="153"/>
      <c r="CQ38" s="152"/>
      <c r="CR38" s="153"/>
      <c r="CT38" s="234"/>
      <c r="CU38" s="273"/>
      <c r="CV38" s="234"/>
      <c r="CW38" s="273"/>
      <c r="CY38" s="234"/>
      <c r="CZ38" s="273"/>
      <c r="DA38" s="234"/>
      <c r="DB38" s="273"/>
    </row>
    <row r="39" spans="1:106" x14ac:dyDescent="0.2">
      <c r="A39" s="11" t="s">
        <v>42</v>
      </c>
      <c r="C39" s="152">
        <v>369.1275167785235</v>
      </c>
      <c r="D39" s="153">
        <f>+C53</f>
        <v>375.83892617449663</v>
      </c>
      <c r="E39" s="152">
        <f>+D53</f>
        <v>370.73825503355704</v>
      </c>
      <c r="F39" s="153">
        <f>+E53</f>
        <v>353.82550335570471</v>
      </c>
      <c r="G39" s="154"/>
      <c r="H39" s="152">
        <f>F53</f>
        <v>367.11409395973152</v>
      </c>
      <c r="I39" s="153">
        <f>H53</f>
        <v>372.48322147651004</v>
      </c>
      <c r="J39" s="152">
        <f>I53</f>
        <v>348.5906040268456</v>
      </c>
      <c r="K39" s="153">
        <f>J53</f>
        <v>359.32885906040264</v>
      </c>
      <c r="L39" s="154"/>
      <c r="M39" s="152">
        <f>K53</f>
        <v>376.6442953020134</v>
      </c>
      <c r="N39" s="153">
        <f>+M53</f>
        <v>390.20134228187914</v>
      </c>
      <c r="O39" s="152">
        <f>+N53</f>
        <v>385.50335570469792</v>
      </c>
      <c r="P39" s="153">
        <f>+O53</f>
        <v>401.2080536912751</v>
      </c>
      <c r="Q39" s="154"/>
      <c r="R39" s="152">
        <f>+P53</f>
        <v>440.67114093959725</v>
      </c>
      <c r="S39" s="153">
        <f>+R53</f>
        <v>453.15436241610735</v>
      </c>
      <c r="T39" s="152">
        <f>+S53</f>
        <v>455.97315436241604</v>
      </c>
      <c r="U39" s="153">
        <f>+T53</f>
        <v>489.12751677852344</v>
      </c>
      <c r="V39" s="154"/>
      <c r="W39" s="152">
        <f>+U53</f>
        <v>465.06040268456371</v>
      </c>
      <c r="X39" s="153">
        <f>+W53</f>
        <v>467.47651006711402</v>
      </c>
      <c r="Y39" s="152">
        <f>+X53</f>
        <v>475.39597315436237</v>
      </c>
      <c r="Z39" s="153">
        <f>+Y53</f>
        <v>480.3624161073825</v>
      </c>
      <c r="AA39" s="152"/>
      <c r="AB39" s="152">
        <f>+Z53</f>
        <v>501.97315436241604</v>
      </c>
      <c r="AC39" s="153">
        <f>+AB53</f>
        <v>514.32214765100662</v>
      </c>
      <c r="AD39" s="152">
        <f>+AC53</f>
        <v>543.98657718120796</v>
      </c>
      <c r="AE39" s="153">
        <f>+AD53</f>
        <v>536.73825503355692</v>
      </c>
      <c r="AF39" s="152"/>
      <c r="AG39" s="152">
        <f>+AE53</f>
        <v>551.9060402684562</v>
      </c>
      <c r="AH39" s="153">
        <f>+AG53</f>
        <v>536.0671140939595</v>
      </c>
      <c r="AI39" s="152">
        <f>+AH53</f>
        <v>535.3959731543622</v>
      </c>
      <c r="AJ39" s="153">
        <f>+AI53</f>
        <v>537.67785234899316</v>
      </c>
      <c r="AK39" s="152"/>
      <c r="AL39" s="152">
        <f>+AJ53</f>
        <v>545.73154362416096</v>
      </c>
      <c r="AM39" s="153">
        <f>+AL53</f>
        <v>553.24832214765081</v>
      </c>
      <c r="AN39" s="152">
        <f>+AM53</f>
        <v>745.99999999999977</v>
      </c>
      <c r="AO39" s="153">
        <f>+AN53</f>
        <v>759.28859060402669</v>
      </c>
      <c r="AP39" s="152"/>
      <c r="AQ39" s="152">
        <f>+AO53</f>
        <v>770.02684563758373</v>
      </c>
      <c r="AR39" s="153">
        <f>+AQ53</f>
        <v>748.81879194630847</v>
      </c>
      <c r="AS39" s="152">
        <f>+AR53</f>
        <v>752.97986577181177</v>
      </c>
      <c r="AT39" s="153">
        <f>+AS53</f>
        <v>754.05369127516747</v>
      </c>
      <c r="AU39" s="152"/>
      <c r="AV39" s="152">
        <f>+AT53</f>
        <v>761.57046979865731</v>
      </c>
      <c r="AW39" s="153">
        <f>+AV53</f>
        <v>752.44295302013381</v>
      </c>
      <c r="AX39" s="152">
        <f>+AW53</f>
        <v>763.85234899328816</v>
      </c>
      <c r="AY39" s="153">
        <f>+AX53</f>
        <v>794.45637583892574</v>
      </c>
      <c r="AZ39" s="152"/>
      <c r="BA39" s="152">
        <f>+AY53</f>
        <v>801.9731543624157</v>
      </c>
      <c r="BB39" s="153">
        <f>+BA53</f>
        <v>847.87919463087201</v>
      </c>
      <c r="BC39" s="152">
        <f>+BB53</f>
        <v>803.44966442952966</v>
      </c>
      <c r="BD39" s="153">
        <f>+BC53</f>
        <v>799.69127516778474</v>
      </c>
      <c r="BE39" s="152"/>
      <c r="BF39" s="152">
        <f>+BD53</f>
        <v>809.45127516778484</v>
      </c>
      <c r="BG39" s="153">
        <f>+BF53</f>
        <v>802.95227516778493</v>
      </c>
      <c r="BH39" s="152">
        <f>+BG53</f>
        <v>801.65227516778498</v>
      </c>
      <c r="BI39" s="153">
        <f>+BH53</f>
        <v>760.15227516778498</v>
      </c>
      <c r="BJ39" s="152"/>
      <c r="BK39" s="152">
        <f>+BI53</f>
        <v>951.35227516778491</v>
      </c>
      <c r="BL39" s="153">
        <f>+BK53</f>
        <v>971.45227516778493</v>
      </c>
      <c r="BM39" s="152">
        <f>+BL53</f>
        <v>982.15227516778498</v>
      </c>
      <c r="BN39" s="153">
        <f>+BM53</f>
        <v>993.252275167785</v>
      </c>
      <c r="BO39" s="152"/>
      <c r="BP39" s="152">
        <f>+BN53</f>
        <v>816.25227516778523</v>
      </c>
      <c r="BQ39" s="153">
        <f>+BP53</f>
        <v>774.85227516778525</v>
      </c>
      <c r="BR39" s="152">
        <f>+BQ53</f>
        <v>767.15227516778532</v>
      </c>
      <c r="BS39" s="153">
        <f>+BR53</f>
        <v>924.45227516778527</v>
      </c>
      <c r="BT39" s="152"/>
      <c r="BU39" s="152">
        <f>+BS53</f>
        <v>895.55227516778518</v>
      </c>
      <c r="BV39" s="153">
        <f>+BU53</f>
        <v>868.15227516778521</v>
      </c>
      <c r="BW39" s="152">
        <f>+BV53</f>
        <v>844.05227516778518</v>
      </c>
      <c r="BX39" s="153">
        <f>+BW53</f>
        <v>806.25227516778511</v>
      </c>
      <c r="BZ39" s="152">
        <f>+BX53</f>
        <v>803.75227516778511</v>
      </c>
      <c r="CA39" s="153">
        <f>+BZ53</f>
        <v>723.85227516778514</v>
      </c>
      <c r="CB39" s="152">
        <f>+CA53</f>
        <v>862.15227516778521</v>
      </c>
      <c r="CC39" s="153">
        <f>+CB53</f>
        <v>853.25227516778511</v>
      </c>
      <c r="CE39" s="152">
        <f>+CC53</f>
        <v>1076.3522751677851</v>
      </c>
      <c r="CF39" s="153">
        <f>+CE53</f>
        <v>1109.1522751677851</v>
      </c>
      <c r="CG39" s="152">
        <f>+CF53</f>
        <v>1161.952275167785</v>
      </c>
      <c r="CH39" s="153">
        <f>+CG53</f>
        <v>1129.2522751677852</v>
      </c>
      <c r="CJ39" s="152">
        <f>+CH53</f>
        <v>1159.8522751677851</v>
      </c>
      <c r="CK39" s="153">
        <f>+CJ53</f>
        <v>1215.9522751677853</v>
      </c>
      <c r="CL39" s="152">
        <f>+CK53</f>
        <v>1101.1522751677851</v>
      </c>
      <c r="CM39" s="153">
        <f>+CL53</f>
        <v>1082.1522751677851</v>
      </c>
      <c r="CO39" s="152">
        <f>+CM53</f>
        <v>1143.752275167785</v>
      </c>
      <c r="CP39" s="153">
        <f>+CO53</f>
        <v>1170.1522751677851</v>
      </c>
      <c r="CQ39" s="152">
        <f>+CP53</f>
        <v>1099.0522751677852</v>
      </c>
      <c r="CR39" s="153">
        <f>+CQ53</f>
        <v>1520.9522751677853</v>
      </c>
      <c r="CT39" s="234">
        <f>+CR53</f>
        <v>1574.9522751677853</v>
      </c>
      <c r="CU39" s="273">
        <f>+CT53</f>
        <v>1596.9522751677853</v>
      </c>
      <c r="CV39" s="234">
        <f>+CU53</f>
        <v>1828.9522751677853</v>
      </c>
      <c r="CW39" s="273">
        <f>+CV53</f>
        <v>1869.9522751677853</v>
      </c>
      <c r="CY39" s="234">
        <f>+CW53</f>
        <v>1852.9522751677853</v>
      </c>
      <c r="CZ39" s="273">
        <f>+CY53</f>
        <v>1985.9522751677853</v>
      </c>
      <c r="DA39" s="234">
        <f>+CZ53</f>
        <v>1952.9522751677853</v>
      </c>
      <c r="DB39" s="273"/>
    </row>
    <row r="40" spans="1:106" s="77" customFormat="1" x14ac:dyDescent="0.2">
      <c r="A40" s="77" t="s">
        <v>24</v>
      </c>
      <c r="B40" s="78"/>
      <c r="C40" s="155"/>
      <c r="D40" s="156">
        <v>0</v>
      </c>
      <c r="E40" s="155">
        <v>0</v>
      </c>
      <c r="F40" s="156">
        <v>0</v>
      </c>
      <c r="G40" s="157"/>
      <c r="H40" s="155">
        <v>0</v>
      </c>
      <c r="I40" s="156">
        <v>0</v>
      </c>
      <c r="J40" s="155">
        <v>0</v>
      </c>
      <c r="K40" s="156">
        <v>0</v>
      </c>
      <c r="L40" s="157"/>
      <c r="M40" s="155">
        <v>0</v>
      </c>
      <c r="N40" s="156">
        <v>0</v>
      </c>
      <c r="O40" s="155">
        <v>0</v>
      </c>
      <c r="P40" s="156">
        <v>0</v>
      </c>
      <c r="Q40" s="157"/>
      <c r="R40" s="155">
        <v>0</v>
      </c>
      <c r="S40" s="156">
        <v>0</v>
      </c>
      <c r="T40" s="155">
        <v>0</v>
      </c>
      <c r="U40" s="156">
        <v>0</v>
      </c>
      <c r="V40" s="157"/>
      <c r="W40" s="155">
        <v>0</v>
      </c>
      <c r="X40" s="156">
        <v>0</v>
      </c>
      <c r="Y40" s="155">
        <v>0</v>
      </c>
      <c r="Z40" s="156">
        <v>0</v>
      </c>
      <c r="AA40" s="155"/>
      <c r="AB40" s="155">
        <v>0</v>
      </c>
      <c r="AC40" s="156">
        <v>0</v>
      </c>
      <c r="AD40" s="155">
        <v>0</v>
      </c>
      <c r="AE40" s="156">
        <v>0</v>
      </c>
      <c r="AF40" s="155"/>
      <c r="AG40" s="155">
        <v>0</v>
      </c>
      <c r="AH40" s="156">
        <v>0</v>
      </c>
      <c r="AI40" s="155">
        <v>0</v>
      </c>
      <c r="AJ40" s="156">
        <v>0</v>
      </c>
      <c r="AK40" s="155"/>
      <c r="AL40" s="155">
        <v>0</v>
      </c>
      <c r="AM40" s="156">
        <v>0</v>
      </c>
      <c r="AN40" s="155">
        <v>0</v>
      </c>
      <c r="AO40" s="156">
        <v>0</v>
      </c>
      <c r="AP40" s="155"/>
      <c r="AQ40" s="155">
        <v>0</v>
      </c>
      <c r="AR40" s="156">
        <v>0</v>
      </c>
      <c r="AS40" s="155">
        <v>0</v>
      </c>
      <c r="AT40" s="156">
        <v>0</v>
      </c>
      <c r="AU40" s="155"/>
      <c r="AV40" s="155">
        <v>0</v>
      </c>
      <c r="AW40" s="156">
        <v>0</v>
      </c>
      <c r="AX40" s="155">
        <v>0</v>
      </c>
      <c r="AY40" s="156">
        <v>0</v>
      </c>
      <c r="AZ40" s="155"/>
      <c r="BA40" s="155">
        <v>0</v>
      </c>
      <c r="BB40" s="156">
        <v>0</v>
      </c>
      <c r="BC40" s="155">
        <v>0</v>
      </c>
      <c r="BD40" s="156">
        <v>0</v>
      </c>
      <c r="BE40" s="155"/>
      <c r="BF40" s="155">
        <v>0</v>
      </c>
      <c r="BG40" s="156">
        <v>0</v>
      </c>
      <c r="BH40" s="155">
        <v>0</v>
      </c>
      <c r="BI40" s="156">
        <v>0</v>
      </c>
      <c r="BJ40" s="155"/>
      <c r="BK40" s="155">
        <v>0</v>
      </c>
      <c r="BL40" s="156">
        <v>0</v>
      </c>
      <c r="BM40" s="155">
        <v>0</v>
      </c>
      <c r="BN40" s="156">
        <v>0</v>
      </c>
      <c r="BO40" s="155"/>
      <c r="BP40" s="155">
        <v>0</v>
      </c>
      <c r="BQ40" s="156">
        <v>0</v>
      </c>
      <c r="BR40" s="155">
        <v>0</v>
      </c>
      <c r="BS40" s="156">
        <v>0</v>
      </c>
      <c r="BT40" s="155"/>
      <c r="BU40" s="155">
        <v>0</v>
      </c>
      <c r="BV40" s="156">
        <v>0</v>
      </c>
      <c r="BW40" s="155">
        <v>0</v>
      </c>
      <c r="BX40" s="156"/>
      <c r="BZ40" s="155">
        <v>0</v>
      </c>
      <c r="CA40" s="156">
        <v>0</v>
      </c>
      <c r="CB40" s="155">
        <v>0</v>
      </c>
      <c r="CC40" s="156">
        <v>0</v>
      </c>
      <c r="CE40" s="155">
        <v>0</v>
      </c>
      <c r="CF40" s="156">
        <v>0</v>
      </c>
      <c r="CG40" s="155">
        <v>0</v>
      </c>
      <c r="CH40" s="156">
        <v>0</v>
      </c>
      <c r="CJ40" s="155">
        <v>0</v>
      </c>
      <c r="CK40" s="156">
        <v>0</v>
      </c>
      <c r="CL40" s="155">
        <v>0</v>
      </c>
      <c r="CM40" s="156">
        <v>0</v>
      </c>
      <c r="CO40" s="155">
        <v>0</v>
      </c>
      <c r="CP40" s="156">
        <v>0</v>
      </c>
      <c r="CQ40" s="155">
        <v>0</v>
      </c>
      <c r="CR40" s="156">
        <v>0</v>
      </c>
      <c r="CT40" s="235">
        <v>0</v>
      </c>
      <c r="CU40" s="274">
        <v>0</v>
      </c>
      <c r="CV40" s="235">
        <v>0</v>
      </c>
      <c r="CW40" s="274">
        <v>0</v>
      </c>
      <c r="CY40" s="235">
        <v>0</v>
      </c>
      <c r="CZ40" s="274">
        <v>0</v>
      </c>
      <c r="DA40" s="235">
        <v>0</v>
      </c>
      <c r="DB40" s="274"/>
    </row>
    <row r="41" spans="1:106" x14ac:dyDescent="0.2">
      <c r="A41" s="11" t="s">
        <v>100</v>
      </c>
      <c r="C41" s="152">
        <f>SUM(C39:C40)</f>
        <v>369.1275167785235</v>
      </c>
      <c r="D41" s="153">
        <f>SUM(D39:D40)</f>
        <v>375.83892617449663</v>
      </c>
      <c r="E41" s="152">
        <f>SUM(E39:E40)</f>
        <v>370.73825503355704</v>
      </c>
      <c r="F41" s="153">
        <f>SUM(F39:F40)</f>
        <v>353.82550335570471</v>
      </c>
      <c r="G41" s="154"/>
      <c r="H41" s="152">
        <f>SUM(H39:H40)</f>
        <v>367.11409395973152</v>
      </c>
      <c r="I41" s="153">
        <f>SUM(I39:I40)</f>
        <v>372.48322147651004</v>
      </c>
      <c r="J41" s="152">
        <f>SUM(J39:J40)</f>
        <v>348.5906040268456</v>
      </c>
      <c r="K41" s="153">
        <f>SUM(K39:K40)</f>
        <v>359.32885906040264</v>
      </c>
      <c r="L41" s="154"/>
      <c r="M41" s="152">
        <f>SUM(M39:M40)</f>
        <v>376.6442953020134</v>
      </c>
      <c r="N41" s="153">
        <f>SUM(N39:N40)</f>
        <v>390.20134228187914</v>
      </c>
      <c r="O41" s="152">
        <f>SUM(O39:O40)</f>
        <v>385.50335570469792</v>
      </c>
      <c r="P41" s="153">
        <f>SUM(P39:P40)</f>
        <v>401.2080536912751</v>
      </c>
      <c r="Q41" s="154"/>
      <c r="R41" s="152">
        <f>SUM(R39:R40)</f>
        <v>440.67114093959725</v>
      </c>
      <c r="S41" s="153">
        <f>SUM(S39:S40)</f>
        <v>453.15436241610735</v>
      </c>
      <c r="T41" s="152">
        <f>SUM(T39:T40)</f>
        <v>455.97315436241604</v>
      </c>
      <c r="U41" s="153">
        <f>SUM(U39:U40)</f>
        <v>489.12751677852344</v>
      </c>
      <c r="V41" s="154"/>
      <c r="W41" s="152">
        <f>SUM(W39:W40)</f>
        <v>465.06040268456371</v>
      </c>
      <c r="X41" s="153">
        <f>SUM(X39:X40)</f>
        <v>467.47651006711402</v>
      </c>
      <c r="Y41" s="152">
        <f>SUM(Y39:Y40)</f>
        <v>475.39597315436237</v>
      </c>
      <c r="Z41" s="153">
        <f>SUM(Z39:Z40)</f>
        <v>480.3624161073825</v>
      </c>
      <c r="AA41" s="152"/>
      <c r="AB41" s="152">
        <f>SUM(AB39:AB40)</f>
        <v>501.97315436241604</v>
      </c>
      <c r="AC41" s="153">
        <f>SUM(AC39:AC40)</f>
        <v>514.32214765100662</v>
      </c>
      <c r="AD41" s="152">
        <f>SUM(AD39:AD40)</f>
        <v>543.98657718120796</v>
      </c>
      <c r="AE41" s="153">
        <f>SUM(AE39:AE40)</f>
        <v>536.73825503355692</v>
      </c>
      <c r="AF41" s="152"/>
      <c r="AG41" s="152">
        <f>SUM(AG39:AG40)</f>
        <v>551.9060402684562</v>
      </c>
      <c r="AH41" s="153">
        <f>SUM(AH39:AH40)</f>
        <v>536.0671140939595</v>
      </c>
      <c r="AI41" s="152">
        <f>SUM(AI39:AI40)</f>
        <v>535.3959731543622</v>
      </c>
      <c r="AJ41" s="153">
        <f>SUM(AJ39:AJ40)</f>
        <v>537.67785234899316</v>
      </c>
      <c r="AK41" s="152"/>
      <c r="AL41" s="152">
        <f>SUM(AL39:AL40)</f>
        <v>545.73154362416096</v>
      </c>
      <c r="AM41" s="153">
        <f>SUM(AM39:AM40)</f>
        <v>553.24832214765081</v>
      </c>
      <c r="AN41" s="152">
        <f>SUM(AN39:AN40)</f>
        <v>745.99999999999977</v>
      </c>
      <c r="AO41" s="153">
        <f>SUM(AO39:AO40)</f>
        <v>759.28859060402669</v>
      </c>
      <c r="AP41" s="152"/>
      <c r="AQ41" s="152">
        <f>SUM(AQ39:AQ40)</f>
        <v>770.02684563758373</v>
      </c>
      <c r="AR41" s="153">
        <f>SUM(AR39:AR40)</f>
        <v>748.81879194630847</v>
      </c>
      <c r="AS41" s="152">
        <f>SUM(AS39:AS40)</f>
        <v>752.97986577181177</v>
      </c>
      <c r="AT41" s="153">
        <f>SUM(AT39:AT40)</f>
        <v>754.05369127516747</v>
      </c>
      <c r="AU41" s="152"/>
      <c r="AV41" s="152">
        <f>SUM(AV39:AV40)</f>
        <v>761.57046979865731</v>
      </c>
      <c r="AW41" s="153">
        <f>SUM(AW39:AW40)</f>
        <v>752.44295302013381</v>
      </c>
      <c r="AX41" s="152">
        <f>SUM(AX39:AX40)</f>
        <v>763.85234899328816</v>
      </c>
      <c r="AY41" s="153">
        <f>SUM(AY39:AY40)</f>
        <v>794.45637583892574</v>
      </c>
      <c r="AZ41" s="152"/>
      <c r="BA41" s="152">
        <f>SUM(BA39:BA40)</f>
        <v>801.9731543624157</v>
      </c>
      <c r="BB41" s="153">
        <f>+BB40+BB39</f>
        <v>847.87919463087201</v>
      </c>
      <c r="BC41" s="152">
        <f>SUM(BC39:BC40)</f>
        <v>803.44966442952966</v>
      </c>
      <c r="BD41" s="153">
        <f>SUM(BD39:BD40)</f>
        <v>799.69127516778474</v>
      </c>
      <c r="BE41" s="152"/>
      <c r="BF41" s="152">
        <f>SUM(BF39:BF40)</f>
        <v>809.45127516778484</v>
      </c>
      <c r="BG41" s="153">
        <f>SUM(BG39:BG40)</f>
        <v>802.95227516778493</v>
      </c>
      <c r="BH41" s="152">
        <f>SUM(BH39:BH40)</f>
        <v>801.65227516778498</v>
      </c>
      <c r="BI41" s="153">
        <f>SUM(BI39:BI40)</f>
        <v>760.15227516778498</v>
      </c>
      <c r="BJ41" s="152"/>
      <c r="BK41" s="152">
        <f>SUM(BK39:BK40)</f>
        <v>951.35227516778491</v>
      </c>
      <c r="BL41" s="153">
        <f>SUM(BL39:BL40)</f>
        <v>971.45227516778493</v>
      </c>
      <c r="BM41" s="152">
        <f>SUM(BM39:BM40)</f>
        <v>982.15227516778498</v>
      </c>
      <c r="BN41" s="153">
        <f>SUM(BN39:BN40)</f>
        <v>993.252275167785</v>
      </c>
      <c r="BO41" s="152"/>
      <c r="BP41" s="152">
        <f>SUM(BP39:BP40)</f>
        <v>816.25227516778523</v>
      </c>
      <c r="BQ41" s="153">
        <f>SUM(BQ39:BQ40)</f>
        <v>774.85227516778525</v>
      </c>
      <c r="BR41" s="152">
        <f>SUM(BR39:BR40)</f>
        <v>767.15227516778532</v>
      </c>
      <c r="BS41" s="153">
        <f>SUM(BS39:BS40)</f>
        <v>924.45227516778527</v>
      </c>
      <c r="BT41" s="152"/>
      <c r="BU41" s="152">
        <f>SUM(BU39:BU40)</f>
        <v>895.55227516778518</v>
      </c>
      <c r="BV41" s="153">
        <f>SUM(BV39:BV40)</f>
        <v>868.15227516778521</v>
      </c>
      <c r="BW41" s="152">
        <f>SUM(BW39:BW40)</f>
        <v>844.05227516778518</v>
      </c>
      <c r="BX41" s="153">
        <f>SUM(BX39:BX40)</f>
        <v>806.25227516778511</v>
      </c>
      <c r="BZ41" s="152">
        <f>SUM(BZ39:BZ40)</f>
        <v>803.75227516778511</v>
      </c>
      <c r="CA41" s="153">
        <f>SUM(CA39:CA40)</f>
        <v>723.85227516778514</v>
      </c>
      <c r="CB41" s="152">
        <f>SUM(CB39:CB40)</f>
        <v>862.15227516778521</v>
      </c>
      <c r="CC41" s="153">
        <f>SUM(CC39:CC40)</f>
        <v>853.25227516778511</v>
      </c>
      <c r="CE41" s="152">
        <f>SUM(CE39:CE40)</f>
        <v>1076.3522751677851</v>
      </c>
      <c r="CF41" s="153">
        <f>SUM(CF39:CF40)</f>
        <v>1109.1522751677851</v>
      </c>
      <c r="CG41" s="152">
        <f>SUM(CG39:CG40)</f>
        <v>1161.952275167785</v>
      </c>
      <c r="CH41" s="153">
        <f>SUM(CH39:CH40)</f>
        <v>1129.2522751677852</v>
      </c>
      <c r="CJ41" s="152">
        <f>SUM(CJ39:CJ40)</f>
        <v>1159.8522751677851</v>
      </c>
      <c r="CK41" s="153">
        <f>SUM(CK39:CK40)</f>
        <v>1215.9522751677853</v>
      </c>
      <c r="CL41" s="152">
        <f>SUM(CL39:CL40)</f>
        <v>1101.1522751677851</v>
      </c>
      <c r="CM41" s="153">
        <f>+CM39+CM40</f>
        <v>1082.1522751677851</v>
      </c>
      <c r="CO41" s="152">
        <f>SUM(CO39:CO40)</f>
        <v>1143.752275167785</v>
      </c>
      <c r="CP41" s="153">
        <f>+CP39+CP40</f>
        <v>1170.1522751677851</v>
      </c>
      <c r="CQ41" s="152">
        <f>+CQ39+CQ40</f>
        <v>1099.0522751677852</v>
      </c>
      <c r="CR41" s="153">
        <f>+CR39+CR40</f>
        <v>1520.9522751677853</v>
      </c>
      <c r="CT41" s="234">
        <f>SUM(CT39:CT40)</f>
        <v>1574.9522751677853</v>
      </c>
      <c r="CU41" s="273">
        <f>+CU39+CU40</f>
        <v>1596.9522751677853</v>
      </c>
      <c r="CV41" s="234">
        <f>+CV39+CV40</f>
        <v>1828.9522751677853</v>
      </c>
      <c r="CW41" s="273">
        <f>+CW39+CW40</f>
        <v>1869.9522751677853</v>
      </c>
      <c r="CY41" s="234">
        <f>SUM(CY39:CY40)</f>
        <v>1852.9522751677853</v>
      </c>
      <c r="CZ41" s="273">
        <f>+CZ39+CZ40</f>
        <v>1985.9522751677853</v>
      </c>
      <c r="DA41" s="234">
        <f>+DA39+DA40</f>
        <v>1952.9522751677853</v>
      </c>
      <c r="DB41" s="273"/>
    </row>
    <row r="42" spans="1:106" x14ac:dyDescent="0.2">
      <c r="A42" s="11" t="s">
        <v>64</v>
      </c>
      <c r="C42" s="152">
        <v>7.1140939597315436</v>
      </c>
      <c r="D42" s="153">
        <v>14.093959731543624</v>
      </c>
      <c r="E42" s="152">
        <v>15.70469798657718</v>
      </c>
      <c r="F42" s="153">
        <v>11.543624161073826</v>
      </c>
      <c r="G42" s="154"/>
      <c r="H42" s="152">
        <v>11.409395973154362</v>
      </c>
      <c r="I42" s="153">
        <v>30.604026845637584</v>
      </c>
      <c r="J42" s="152">
        <v>19.597315436241612</v>
      </c>
      <c r="K42" s="153">
        <v>19.328859060402685</v>
      </c>
      <c r="L42" s="154"/>
      <c r="M42" s="152">
        <v>16.107382550335569</v>
      </c>
      <c r="N42" s="153">
        <v>30.067114093959731</v>
      </c>
      <c r="O42" s="152">
        <v>22.416107382550337</v>
      </c>
      <c r="P42" s="153">
        <v>41.476510067114091</v>
      </c>
      <c r="Q42" s="154"/>
      <c r="R42" s="152">
        <v>18.523489932885905</v>
      </c>
      <c r="S42" s="153">
        <v>31.140939597315434</v>
      </c>
      <c r="T42" s="152">
        <v>18.65771812080537</v>
      </c>
      <c r="U42" s="153">
        <v>-14.093959731543624</v>
      </c>
      <c r="V42" s="154"/>
      <c r="W42" s="152">
        <v>0</v>
      </c>
      <c r="X42" s="153">
        <v>12.617449664429531</v>
      </c>
      <c r="Y42" s="152">
        <v>9.5302013422818792</v>
      </c>
      <c r="Z42" s="153">
        <v>9.7986577181208059</v>
      </c>
      <c r="AA42" s="152"/>
      <c r="AB42" s="152">
        <v>8.724832214765101</v>
      </c>
      <c r="AC42" s="153">
        <v>13.020134228187919</v>
      </c>
      <c r="AD42" s="152">
        <v>10.738255033557047</v>
      </c>
      <c r="AE42" s="153">
        <v>3.7583892617449663</v>
      </c>
      <c r="AF42" s="152"/>
      <c r="AG42" s="152">
        <f>(+' Financial Highlights'!AM19)</f>
        <v>6.8456375838926187</v>
      </c>
      <c r="AH42" s="153">
        <f>(+' Financial Highlights'!AN19)</f>
        <v>4.0268456375838939</v>
      </c>
      <c r="AI42" s="152">
        <f>(+' Financial Highlights'!AO19)</f>
        <v>5.7718120805369111</v>
      </c>
      <c r="AJ42" s="153">
        <f>(+' Financial Highlights'!AP19)</f>
        <v>0.40268456375839023</v>
      </c>
      <c r="AK42" s="152"/>
      <c r="AL42" s="152">
        <v>4.1610738255033555</v>
      </c>
      <c r="AM42" s="153">
        <f>+' Financial Highlights'!AT19</f>
        <v>193.15436241610735</v>
      </c>
      <c r="AN42" s="152">
        <f>+' Financial Highlights'!AU19</f>
        <v>4.9664429530201355</v>
      </c>
      <c r="AO42" s="153">
        <f>+' Financial Highlights'!AV19</f>
        <v>13.288590604026844</v>
      </c>
      <c r="AP42" s="152"/>
      <c r="AQ42" s="152">
        <v>3.3557046979865772</v>
      </c>
      <c r="AR42" s="153">
        <v>10.201342281879194</v>
      </c>
      <c r="AS42" s="152">
        <v>7.1140939597315436</v>
      </c>
      <c r="AT42" s="153">
        <v>13.288590604026846</v>
      </c>
      <c r="AU42" s="152"/>
      <c r="AV42" s="152">
        <f>+' Financial Highlights'!BE19</f>
        <v>11.677852348993287</v>
      </c>
      <c r="AW42" s="153">
        <f>+' Financial Highlights'!BF19</f>
        <v>6.308724832214768</v>
      </c>
      <c r="AX42" s="152">
        <f>+' Financial Highlights'!BG19</f>
        <v>8.0536912751677843</v>
      </c>
      <c r="AY42" s="153">
        <f>+' Financial Highlights'!BH19</f>
        <v>11.543624161073826</v>
      </c>
      <c r="AZ42" s="152"/>
      <c r="BA42" s="152">
        <f>+' Financial Highlights'!BK19</f>
        <v>12.214765100671148</v>
      </c>
      <c r="BB42" s="153">
        <f>+' Financial Highlights'!BL19</f>
        <v>-27.651006711409394</v>
      </c>
      <c r="BC42" s="152">
        <f>+' Financial Highlights'!BM19</f>
        <v>9.664429530201339</v>
      </c>
      <c r="BD42" s="153">
        <f>+' Financial Highlights'!BN19</f>
        <v>6.9599999999999955</v>
      </c>
      <c r="BE42" s="152"/>
      <c r="BF42" s="152">
        <f>+' Financial Highlights'!BQ19</f>
        <v>10.600999999999997</v>
      </c>
      <c r="BG42" s="153">
        <f>+' Financial Highlights'!BR19</f>
        <v>20.2</v>
      </c>
      <c r="BH42" s="152">
        <f>+' Financial Highlights'!BS19</f>
        <v>-24.799999999999997</v>
      </c>
      <c r="BI42" s="153">
        <f>+' Financial Highlights'!BT19</f>
        <v>6.0999999999999961</v>
      </c>
      <c r="BJ42" s="152"/>
      <c r="BK42" s="152">
        <f>+' Financial Highlights'!BW19</f>
        <v>12.600000000000001</v>
      </c>
      <c r="BL42" s="153">
        <f>+' Financial Highlights'!BX19</f>
        <v>32.5</v>
      </c>
      <c r="BM42" s="152">
        <f>+' Financial Highlights'!BY19</f>
        <v>17.600000000000005</v>
      </c>
      <c r="BN42" s="153">
        <f>+' Financial Highlights'!BZ19</f>
        <v>866.1</v>
      </c>
      <c r="BO42" s="152"/>
      <c r="BP42" s="152">
        <f>+' Financial Highlights'!CC19</f>
        <v>-4.9999999999999973</v>
      </c>
      <c r="BQ42" s="153">
        <v>1.7</v>
      </c>
      <c r="BR42" s="152">
        <v>-2.8</v>
      </c>
      <c r="BS42" s="153">
        <v>-40.200000000000003</v>
      </c>
      <c r="BT42" s="152"/>
      <c r="BU42" s="152">
        <f>+' Financial Highlights'!CI19</f>
        <v>-19.000000000000004</v>
      </c>
      <c r="BV42" s="153">
        <f>+' Financial Highlights'!CJ19</f>
        <v>-15.099999999999996</v>
      </c>
      <c r="BW42" s="152">
        <f>+' Financial Highlights'!CK19</f>
        <v>-19.2</v>
      </c>
      <c r="BX42" s="153">
        <f>+' Financial Highlights'!CL19</f>
        <v>-22.700000000000003</v>
      </c>
      <c r="BZ42" s="152">
        <f>+' Financial Highlights'!CO19</f>
        <v>-20.6</v>
      </c>
      <c r="CA42" s="153">
        <f>+' Financial Highlights'!CP19</f>
        <v>-13.400000000000002</v>
      </c>
      <c r="CB42" s="152">
        <v>-9.6</v>
      </c>
      <c r="CC42" s="153">
        <v>-30.9</v>
      </c>
      <c r="CE42" s="152">
        <f>+' Financial Highlights'!CU19</f>
        <v>1.7000000000000013</v>
      </c>
      <c r="CF42" s="153">
        <f>+' Financial Highlights'!CV19</f>
        <v>11.1</v>
      </c>
      <c r="CG42" s="152">
        <f>+' Financial Highlights'!CW21</f>
        <v>0.20000000000000751</v>
      </c>
      <c r="CH42" s="153">
        <v>-8.9</v>
      </c>
      <c r="CJ42" s="152">
        <f>+' Financial Highlights'!DA19</f>
        <v>14.899999999999995</v>
      </c>
      <c r="CK42" s="153">
        <f>+' Financial Highlights'!DB19</f>
        <v>5.0999999999999979</v>
      </c>
      <c r="CL42" s="152">
        <f>+' Financial Highlights'!DC19</f>
        <v>19.899999999999999</v>
      </c>
      <c r="CM42" s="153">
        <f>+' Financial Highlights'!DD19</f>
        <v>22.500000000000007</v>
      </c>
      <c r="CO42" s="152">
        <v>27.6</v>
      </c>
      <c r="CP42" s="153">
        <v>38</v>
      </c>
      <c r="CQ42" s="152">
        <v>25</v>
      </c>
      <c r="CR42" s="153">
        <f>124.3-CO42-CP42-CQ42</f>
        <v>33.699999999999989</v>
      </c>
      <c r="CT42" s="234">
        <v>45</v>
      </c>
      <c r="CU42" s="273">
        <v>179</v>
      </c>
      <c r="CV42" s="234">
        <v>71</v>
      </c>
      <c r="CW42" s="273">
        <v>42</v>
      </c>
      <c r="CY42" s="234">
        <v>57</v>
      </c>
      <c r="CZ42" s="273">
        <f>111-CY42</f>
        <v>54</v>
      </c>
      <c r="DA42" s="234">
        <f>178-CZ42-CY42</f>
        <v>67</v>
      </c>
      <c r="DB42" s="273"/>
    </row>
    <row r="43" spans="1:106" x14ac:dyDescent="0.2">
      <c r="A43" s="11" t="s">
        <v>79</v>
      </c>
      <c r="C43" s="152">
        <v>0</v>
      </c>
      <c r="D43" s="153">
        <v>0</v>
      </c>
      <c r="E43" s="152">
        <v>0</v>
      </c>
      <c r="F43" s="153">
        <v>0</v>
      </c>
      <c r="G43" s="154"/>
      <c r="H43" s="152"/>
      <c r="I43" s="153"/>
      <c r="J43" s="152"/>
      <c r="K43" s="153"/>
      <c r="L43" s="154"/>
      <c r="M43" s="152"/>
      <c r="N43" s="153"/>
      <c r="O43" s="152"/>
      <c r="P43" s="153"/>
      <c r="Q43" s="154"/>
      <c r="R43" s="152"/>
      <c r="S43" s="153"/>
      <c r="T43" s="152"/>
      <c r="U43" s="153"/>
      <c r="V43" s="154"/>
      <c r="W43" s="152"/>
      <c r="X43" s="153"/>
      <c r="Y43" s="152"/>
      <c r="Z43" s="153"/>
      <c r="AA43" s="152"/>
      <c r="AB43" s="152"/>
      <c r="AC43" s="153"/>
      <c r="AD43" s="152"/>
      <c r="AE43" s="153"/>
      <c r="AF43" s="152"/>
      <c r="AG43" s="152"/>
      <c r="AH43" s="153"/>
      <c r="AI43" s="152"/>
      <c r="AJ43" s="153"/>
      <c r="AK43" s="152"/>
      <c r="AL43" s="152"/>
      <c r="AM43" s="153"/>
      <c r="AN43" s="152"/>
      <c r="AO43" s="153"/>
      <c r="AP43" s="152"/>
      <c r="AQ43" s="152">
        <v>-3.7583892617449663</v>
      </c>
      <c r="AR43" s="153">
        <v>0</v>
      </c>
      <c r="AS43" s="152">
        <v>0</v>
      </c>
      <c r="AT43" s="153">
        <v>-0.26845637583892618</v>
      </c>
      <c r="AU43" s="152"/>
      <c r="AV43" s="152">
        <v>0</v>
      </c>
      <c r="AW43" s="153">
        <v>0</v>
      </c>
      <c r="AX43" s="152">
        <v>0</v>
      </c>
      <c r="AY43" s="153">
        <v>-9.1275167785234892</v>
      </c>
      <c r="AZ43" s="152"/>
      <c r="BA43" s="152">
        <v>0</v>
      </c>
      <c r="BB43" s="153">
        <v>0</v>
      </c>
      <c r="BC43" s="152">
        <v>0</v>
      </c>
      <c r="BD43" s="153">
        <v>1.7</v>
      </c>
      <c r="BE43" s="152"/>
      <c r="BF43" s="152">
        <v>0</v>
      </c>
      <c r="BG43" s="153">
        <v>0</v>
      </c>
      <c r="BH43" s="152">
        <v>0</v>
      </c>
      <c r="BI43" s="153">
        <v>-4.5999999999999996</v>
      </c>
      <c r="BJ43" s="152"/>
      <c r="BK43" s="152">
        <v>0</v>
      </c>
      <c r="BL43" s="153">
        <v>0</v>
      </c>
      <c r="BM43" s="174">
        <v>0</v>
      </c>
      <c r="BN43" s="153">
        <v>0.2</v>
      </c>
      <c r="BO43" s="152"/>
      <c r="BP43" s="152">
        <v>0</v>
      </c>
      <c r="BQ43" s="153">
        <v>0</v>
      </c>
      <c r="BR43" s="174"/>
      <c r="BS43" s="153">
        <v>1.8</v>
      </c>
      <c r="BT43" s="152"/>
      <c r="BU43" s="152">
        <v>0</v>
      </c>
      <c r="BV43" s="153">
        <v>0</v>
      </c>
      <c r="BW43" s="174">
        <v>0</v>
      </c>
      <c r="BX43" s="153">
        <f>-6.5+2</f>
        <v>-4.5</v>
      </c>
      <c r="BZ43" s="152">
        <v>0</v>
      </c>
      <c r="CA43" s="153">
        <v>0</v>
      </c>
      <c r="CB43" s="174">
        <v>0</v>
      </c>
      <c r="CC43" s="153">
        <v>-1.4</v>
      </c>
      <c r="CE43" s="152">
        <v>0</v>
      </c>
      <c r="CF43" s="153">
        <v>0</v>
      </c>
      <c r="CG43" s="174">
        <v>0</v>
      </c>
      <c r="CH43" s="153">
        <v>2.2999999999999998</v>
      </c>
      <c r="CJ43" s="152">
        <v>0</v>
      </c>
      <c r="CK43" s="153"/>
      <c r="CL43" s="174"/>
      <c r="CM43" s="153"/>
      <c r="CO43" s="152">
        <v>0</v>
      </c>
      <c r="CP43" s="153"/>
      <c r="CQ43" s="174"/>
      <c r="CR43" s="153"/>
      <c r="CT43" s="234">
        <v>0</v>
      </c>
      <c r="CU43" s="273"/>
      <c r="CV43" s="174"/>
      <c r="CW43" s="273">
        <v>-3</v>
      </c>
      <c r="CY43" s="234">
        <v>0</v>
      </c>
      <c r="CZ43" s="273">
        <v>0</v>
      </c>
      <c r="DA43" s="309"/>
      <c r="DB43" s="273"/>
    </row>
    <row r="44" spans="1:106" x14ac:dyDescent="0.2">
      <c r="A44" s="11" t="s">
        <v>65</v>
      </c>
      <c r="C44" s="152">
        <v>1.2080536912751678</v>
      </c>
      <c r="D44" s="153">
        <v>7.1140939597315436</v>
      </c>
      <c r="E44" s="152">
        <v>4.4295302013422821</v>
      </c>
      <c r="F44" s="153">
        <v>1.7449664429530201</v>
      </c>
      <c r="G44" s="154"/>
      <c r="H44" s="152">
        <v>2.5503355704697985</v>
      </c>
      <c r="I44" s="153">
        <v>-16.778523489932887</v>
      </c>
      <c r="J44" s="152">
        <v>-8.8590604026845643</v>
      </c>
      <c r="K44" s="153">
        <v>-2.0134228187919461</v>
      </c>
      <c r="L44" s="154"/>
      <c r="M44" s="152">
        <v>-3.4899328859060401</v>
      </c>
      <c r="N44" s="153">
        <v>-4.4295302013422821</v>
      </c>
      <c r="O44" s="152">
        <v>-6.7114093959731544</v>
      </c>
      <c r="P44" s="153">
        <v>-2.0134228187919461</v>
      </c>
      <c r="Q44" s="154"/>
      <c r="R44" s="152">
        <v>-6.5771812080536911</v>
      </c>
      <c r="S44" s="153">
        <v>4.9664429530201337</v>
      </c>
      <c r="T44" s="152">
        <v>14.36241610738255</v>
      </c>
      <c r="U44" s="153">
        <v>-10.10738255033557</v>
      </c>
      <c r="V44" s="154"/>
      <c r="W44" s="152">
        <v>2.2818791946308723</v>
      </c>
      <c r="X44" s="153">
        <v>-4.9664429530201337</v>
      </c>
      <c r="Y44" s="174">
        <v>-4.6979865771812079</v>
      </c>
      <c r="Z44" s="153">
        <v>11.677852348993289</v>
      </c>
      <c r="AA44" s="152"/>
      <c r="AB44" s="152">
        <f>(-3+111)/7.45</f>
        <v>14.496644295302014</v>
      </c>
      <c r="AC44" s="153">
        <v>15.973154362416107</v>
      </c>
      <c r="AD44" s="174">
        <v>-18.120805369127517</v>
      </c>
      <c r="AE44" s="153">
        <v>11.275167785234899</v>
      </c>
      <c r="AF44" s="152"/>
      <c r="AG44" s="152">
        <v>-16.51006711409396</v>
      </c>
      <c r="AH44" s="153">
        <v>-4.9664429530201337</v>
      </c>
      <c r="AI44" s="174">
        <v>-3.6241610738255035</v>
      </c>
      <c r="AJ44" s="153">
        <v>7.651006711409396</v>
      </c>
      <c r="AK44" s="152"/>
      <c r="AL44" s="152">
        <v>6.7114093959731544</v>
      </c>
      <c r="AM44" s="153">
        <v>-0.53691275167785235</v>
      </c>
      <c r="AN44" s="174">
        <v>8.0536912751677843</v>
      </c>
      <c r="AO44" s="153">
        <v>-2.6845637583892619</v>
      </c>
      <c r="AP44" s="152"/>
      <c r="AQ44" s="152">
        <v>3.7583892617449663</v>
      </c>
      <c r="AR44" s="153">
        <v>-6.174496644295302</v>
      </c>
      <c r="AS44" s="174">
        <v>-6.174496644295302</v>
      </c>
      <c r="AT44" s="153">
        <v>-6.0402684563758386</v>
      </c>
      <c r="AU44" s="152"/>
      <c r="AV44" s="152">
        <v>-9.6644295302013425</v>
      </c>
      <c r="AW44" s="153">
        <v>4.9664429530201337</v>
      </c>
      <c r="AX44" s="174">
        <v>22.550335570469798</v>
      </c>
      <c r="AY44" s="153">
        <v>5.1006711409395971</v>
      </c>
      <c r="AZ44" s="152"/>
      <c r="BA44" s="152">
        <v>35.302013422818789</v>
      </c>
      <c r="BB44" s="153">
        <f>(137-263)/7.45</f>
        <v>-16.912751677852349</v>
      </c>
      <c r="BC44" s="174">
        <v>-13.557046979865772</v>
      </c>
      <c r="BD44" s="153">
        <v>1.1000000000000001</v>
      </c>
      <c r="BE44" s="152"/>
      <c r="BF44" s="152">
        <v>-5.8</v>
      </c>
      <c r="BG44" s="153">
        <v>1.6</v>
      </c>
      <c r="BH44" s="174">
        <v>-0.2</v>
      </c>
      <c r="BI44" s="153">
        <v>1.3</v>
      </c>
      <c r="BJ44" s="152"/>
      <c r="BK44" s="152">
        <v>-0.3</v>
      </c>
      <c r="BL44" s="153">
        <v>-23.3</v>
      </c>
      <c r="BM44" s="174">
        <v>-7.2</v>
      </c>
      <c r="BN44" s="153">
        <f>-20.1-13.5-1.4-BM44-BL44-BK44</f>
        <v>-4.2</v>
      </c>
      <c r="BO44" s="152"/>
      <c r="BP44" s="152">
        <v>-36.4</v>
      </c>
      <c r="BQ44" s="153">
        <v>-9.4</v>
      </c>
      <c r="BR44" s="174">
        <v>11.8</v>
      </c>
      <c r="BS44" s="153">
        <v>9.5</v>
      </c>
      <c r="BT44" s="152"/>
      <c r="BU44" s="152">
        <v>-8.4</v>
      </c>
      <c r="BV44" s="153">
        <v>-9</v>
      </c>
      <c r="BW44" s="174">
        <v>-10.5</v>
      </c>
      <c r="BX44" s="153">
        <v>24.7</v>
      </c>
      <c r="BZ44" s="152">
        <f>-59.6+0.3</f>
        <v>-59.300000000000004</v>
      </c>
      <c r="CA44" s="153">
        <v>62.5</v>
      </c>
      <c r="CB44" s="174">
        <v>8.8000000000000007</v>
      </c>
      <c r="CC44" s="153">
        <v>86</v>
      </c>
      <c r="CE44" s="152">
        <f>31+0.1</f>
        <v>31.1</v>
      </c>
      <c r="CF44" s="153">
        <f>41.4+0.3</f>
        <v>41.699999999999996</v>
      </c>
      <c r="CG44" s="174">
        <v>-24.8</v>
      </c>
      <c r="CH44" s="153">
        <v>37.200000000000003</v>
      </c>
      <c r="CJ44" s="152">
        <f>43.2+0.5</f>
        <v>43.7</v>
      </c>
      <c r="CK44" s="153">
        <f>-120.4+0.5</f>
        <v>-119.9</v>
      </c>
      <c r="CL44" s="174">
        <f>-38.9+7.4</f>
        <v>-31.5</v>
      </c>
      <c r="CM44" s="153">
        <f>37.7+1.4</f>
        <v>39.1</v>
      </c>
      <c r="CO44" s="152">
        <f>25.9-8.4-8.1</f>
        <v>9.4</v>
      </c>
      <c r="CP44" s="153">
        <f>-32.8-CO44</f>
        <v>-42.199999999999996</v>
      </c>
      <c r="CQ44" s="174">
        <v>10</v>
      </c>
      <c r="CR44" s="153">
        <v>30.1</v>
      </c>
      <c r="CT44" s="234">
        <f>-25+23-4-1</f>
        <v>-7</v>
      </c>
      <c r="CU44" s="273">
        <f>65-CT44</f>
        <v>72</v>
      </c>
      <c r="CV44" s="174"/>
      <c r="CW44" s="273">
        <v>-19</v>
      </c>
      <c r="CY44" s="234">
        <v>48</v>
      </c>
      <c r="CZ44" s="273">
        <f>18-CY44</f>
        <v>-30</v>
      </c>
      <c r="DA44" s="309">
        <f>31-CZ44-CY44</f>
        <v>13</v>
      </c>
      <c r="DB44" s="273"/>
    </row>
    <row r="45" spans="1:106" x14ac:dyDescent="0.2">
      <c r="A45" s="11" t="s">
        <v>135</v>
      </c>
      <c r="C45" s="152">
        <v>-1.6107382550335569</v>
      </c>
      <c r="D45" s="153">
        <v>0</v>
      </c>
      <c r="E45" s="152">
        <v>-37.04697986577181</v>
      </c>
      <c r="F45" s="153">
        <v>0</v>
      </c>
      <c r="G45" s="154"/>
      <c r="H45" s="152">
        <v>-8.5906040268456376</v>
      </c>
      <c r="I45" s="153">
        <v>1.7449664429530201</v>
      </c>
      <c r="J45" s="152">
        <v>0</v>
      </c>
      <c r="K45" s="153">
        <v>0</v>
      </c>
      <c r="L45" s="154"/>
      <c r="M45" s="152">
        <v>0.93959731543624159</v>
      </c>
      <c r="N45" s="153">
        <v>1.3422818791946309</v>
      </c>
      <c r="O45" s="152">
        <v>0</v>
      </c>
      <c r="P45" s="153">
        <v>0</v>
      </c>
      <c r="Q45" s="154"/>
      <c r="R45" s="152">
        <v>0.53691275167785235</v>
      </c>
      <c r="S45" s="153">
        <v>1.6107382550335569</v>
      </c>
      <c r="T45" s="152">
        <v>0.13422818791946309</v>
      </c>
      <c r="U45" s="153">
        <v>0.13422818791946309</v>
      </c>
      <c r="V45" s="154"/>
      <c r="W45" s="152">
        <v>0.13422818791946309</v>
      </c>
      <c r="X45" s="153">
        <v>0.26845637583892618</v>
      </c>
      <c r="Y45" s="152">
        <v>0.13422818791946309</v>
      </c>
      <c r="Z45" s="153">
        <v>0.13422818791946309</v>
      </c>
      <c r="AA45" s="152"/>
      <c r="AB45" s="152">
        <v>0.26845637583892618</v>
      </c>
      <c r="AC45" s="153">
        <v>0.67114093959731547</v>
      </c>
      <c r="AD45" s="152">
        <v>0.13422818791946309</v>
      </c>
      <c r="AE45" s="153">
        <v>0.13422818791946309</v>
      </c>
      <c r="AF45" s="152"/>
      <c r="AG45" s="152">
        <v>0.13422818791946309</v>
      </c>
      <c r="AH45" s="153">
        <v>0.26845637583892618</v>
      </c>
      <c r="AI45" s="152">
        <v>0.13422818791946309</v>
      </c>
      <c r="AJ45" s="153">
        <v>0</v>
      </c>
      <c r="AK45" s="152"/>
      <c r="AL45" s="152">
        <f>(1+22)/7.45</f>
        <v>3.087248322147651</v>
      </c>
      <c r="AM45" s="153">
        <v>0.13422818791946309</v>
      </c>
      <c r="AN45" s="152">
        <v>0.26845637583892618</v>
      </c>
      <c r="AO45" s="153">
        <v>0.13422818791946309</v>
      </c>
      <c r="AP45" s="152"/>
      <c r="AQ45" s="152">
        <v>1.0738255033557047</v>
      </c>
      <c r="AR45" s="153">
        <v>0.13422818791946309</v>
      </c>
      <c r="AS45" s="152">
        <v>0.13422818791946309</v>
      </c>
      <c r="AT45" s="153">
        <v>0.53691275167785235</v>
      </c>
      <c r="AU45" s="152"/>
      <c r="AV45" s="152">
        <v>0.13422818791946309</v>
      </c>
      <c r="AW45" s="153">
        <v>0.13422818791946309</v>
      </c>
      <c r="AX45" s="152">
        <v>0</v>
      </c>
      <c r="AY45" s="153">
        <v>0</v>
      </c>
      <c r="AZ45" s="152"/>
      <c r="BA45" s="152">
        <v>11.409395973154362</v>
      </c>
      <c r="BB45" s="153">
        <v>0.13422818791946309</v>
      </c>
      <c r="BC45" s="152">
        <v>0.13422818791946309</v>
      </c>
      <c r="BD45" s="153">
        <v>0</v>
      </c>
      <c r="BE45" s="152"/>
      <c r="BF45" s="152">
        <f>6.3+0.1-4.7</f>
        <v>1.6999999999999993</v>
      </c>
      <c r="BG45" s="153">
        <f>0.1-0.9+6.3-24.9-1.7-2</f>
        <v>-23.099999999999998</v>
      </c>
      <c r="BH45" s="152">
        <v>-16.5</v>
      </c>
      <c r="BI45" s="153">
        <v>3.6</v>
      </c>
      <c r="BJ45" s="152"/>
      <c r="BK45" s="152">
        <v>7.8</v>
      </c>
      <c r="BL45" s="153">
        <f>1.7-0.2</f>
        <v>1.5</v>
      </c>
      <c r="BM45" s="174">
        <v>0.7</v>
      </c>
      <c r="BN45" s="153">
        <v>0.2</v>
      </c>
      <c r="BO45" s="152"/>
      <c r="BP45" s="152"/>
      <c r="BQ45" s="153"/>
      <c r="BR45" s="174"/>
      <c r="BS45" s="153"/>
      <c r="BT45" s="152"/>
      <c r="BU45" s="152"/>
      <c r="BV45" s="153"/>
      <c r="BW45" s="174"/>
      <c r="BX45" s="153"/>
      <c r="BZ45" s="152"/>
      <c r="CA45" s="153"/>
      <c r="CB45" s="174"/>
      <c r="CC45" s="153"/>
      <c r="CE45" s="152"/>
      <c r="CF45" s="153"/>
      <c r="CG45" s="174"/>
      <c r="CH45" s="153"/>
      <c r="CJ45" s="152">
        <v>-2.5</v>
      </c>
      <c r="CK45" s="153"/>
      <c r="CL45" s="174"/>
      <c r="CM45" s="153"/>
      <c r="CO45" s="152">
        <f>-4.7+0.4</f>
        <v>-4.3</v>
      </c>
      <c r="CP45" s="153">
        <f>-4.6-CO45</f>
        <v>-0.29999999999999982</v>
      </c>
      <c r="CQ45" s="174">
        <f>-4.6-CO45-CP45</f>
        <v>0</v>
      </c>
      <c r="CR45" s="153">
        <f>-7.2-CQ45-CP45-CO45</f>
        <v>-2.6000000000000005</v>
      </c>
      <c r="CT45" s="234">
        <v>0</v>
      </c>
      <c r="CU45" s="273">
        <v>1</v>
      </c>
      <c r="CV45" s="174">
        <v>1</v>
      </c>
      <c r="CW45" s="273"/>
      <c r="CY45" s="234">
        <v>0</v>
      </c>
      <c r="CZ45" s="273">
        <v>-20</v>
      </c>
      <c r="DA45" s="309"/>
      <c r="DB45" s="273"/>
    </row>
    <row r="46" spans="1:106" x14ac:dyDescent="0.2">
      <c r="A46" s="11" t="s">
        <v>217</v>
      </c>
      <c r="C46" s="152"/>
      <c r="D46" s="153"/>
      <c r="E46" s="152"/>
      <c r="F46" s="153"/>
      <c r="G46" s="154"/>
      <c r="H46" s="152"/>
      <c r="I46" s="153"/>
      <c r="J46" s="152"/>
      <c r="K46" s="153"/>
      <c r="L46" s="154"/>
      <c r="M46" s="152"/>
      <c r="N46" s="153"/>
      <c r="O46" s="152"/>
      <c r="P46" s="153"/>
      <c r="Q46" s="154"/>
      <c r="R46" s="152"/>
      <c r="S46" s="153"/>
      <c r="T46" s="152"/>
      <c r="U46" s="153"/>
      <c r="V46" s="154"/>
      <c r="W46" s="152"/>
      <c r="X46" s="153"/>
      <c r="Y46" s="152"/>
      <c r="Z46" s="153"/>
      <c r="AA46" s="152"/>
      <c r="AB46" s="152"/>
      <c r="AC46" s="153"/>
      <c r="AD46" s="152"/>
      <c r="AE46" s="153"/>
      <c r="AF46" s="152"/>
      <c r="AG46" s="152"/>
      <c r="AH46" s="153"/>
      <c r="AI46" s="152"/>
      <c r="AJ46" s="153"/>
      <c r="AK46" s="152"/>
      <c r="AL46" s="152"/>
      <c r="AM46" s="153"/>
      <c r="AN46" s="152"/>
      <c r="AO46" s="153"/>
      <c r="AP46" s="152"/>
      <c r="AQ46" s="152"/>
      <c r="AR46" s="153"/>
      <c r="AS46" s="152"/>
      <c r="AT46" s="153"/>
      <c r="AU46" s="152"/>
      <c r="AV46" s="152"/>
      <c r="AW46" s="153"/>
      <c r="AX46" s="152"/>
      <c r="AY46" s="153"/>
      <c r="AZ46" s="152"/>
      <c r="BA46" s="152"/>
      <c r="BB46" s="153"/>
      <c r="BC46" s="152"/>
      <c r="BD46" s="153"/>
      <c r="BE46" s="152"/>
      <c r="BF46" s="152"/>
      <c r="BG46" s="153"/>
      <c r="BH46" s="152"/>
      <c r="BI46" s="153"/>
      <c r="BJ46" s="152"/>
      <c r="BK46" s="152"/>
      <c r="BL46" s="153"/>
      <c r="BM46" s="174"/>
      <c r="BN46" s="153"/>
      <c r="BO46" s="152"/>
      <c r="BP46" s="152"/>
      <c r="BQ46" s="153"/>
      <c r="BR46" s="174"/>
      <c r="BS46" s="153"/>
      <c r="BT46" s="152"/>
      <c r="BU46" s="152"/>
      <c r="BV46" s="153"/>
      <c r="BW46" s="174"/>
      <c r="BX46" s="153"/>
      <c r="BZ46" s="152"/>
      <c r="CA46" s="153"/>
      <c r="CB46" s="174"/>
      <c r="CC46" s="153"/>
      <c r="CE46" s="152"/>
      <c r="CF46" s="153"/>
      <c r="CG46" s="174"/>
      <c r="CH46" s="153"/>
      <c r="CJ46" s="152"/>
      <c r="CK46" s="153"/>
      <c r="CL46" s="174"/>
      <c r="CM46" s="153"/>
      <c r="CO46" s="152"/>
      <c r="CP46" s="153"/>
      <c r="CQ46" s="174"/>
      <c r="CR46" s="153"/>
      <c r="CT46" s="234"/>
      <c r="CU46" s="273"/>
      <c r="CV46" s="174"/>
      <c r="CW46" s="273"/>
      <c r="CY46" s="234">
        <f>48+6-14</f>
        <v>40</v>
      </c>
      <c r="CZ46" s="273">
        <f>13-7-1-CY46</f>
        <v>-35</v>
      </c>
      <c r="DA46" s="309">
        <f>31+3-3-CZ46-CY46</f>
        <v>26</v>
      </c>
      <c r="DB46" s="273"/>
    </row>
    <row r="47" spans="1:106" x14ac:dyDescent="0.2">
      <c r="A47" s="11" t="s">
        <v>211</v>
      </c>
      <c r="C47" s="152"/>
      <c r="D47" s="153"/>
      <c r="E47" s="152"/>
      <c r="F47" s="153"/>
      <c r="G47" s="154"/>
      <c r="H47" s="152"/>
      <c r="I47" s="153"/>
      <c r="J47" s="152"/>
      <c r="K47" s="153"/>
      <c r="L47" s="154"/>
      <c r="M47" s="152"/>
      <c r="N47" s="153"/>
      <c r="O47" s="152"/>
      <c r="P47" s="153"/>
      <c r="Q47" s="154"/>
      <c r="R47" s="152"/>
      <c r="S47" s="153"/>
      <c r="T47" s="152"/>
      <c r="U47" s="153"/>
      <c r="V47" s="154"/>
      <c r="W47" s="152"/>
      <c r="X47" s="153"/>
      <c r="Y47" s="152"/>
      <c r="Z47" s="153"/>
      <c r="AA47" s="152"/>
      <c r="AB47" s="152"/>
      <c r="AC47" s="153"/>
      <c r="AD47" s="152"/>
      <c r="AE47" s="153"/>
      <c r="AF47" s="152"/>
      <c r="AG47" s="152"/>
      <c r="AH47" s="153"/>
      <c r="AI47" s="152"/>
      <c r="AJ47" s="153"/>
      <c r="AK47" s="152"/>
      <c r="AL47" s="152"/>
      <c r="AM47" s="153"/>
      <c r="AN47" s="152"/>
      <c r="AO47" s="153"/>
      <c r="AP47" s="152"/>
      <c r="AQ47" s="152"/>
      <c r="AR47" s="153"/>
      <c r="AS47" s="152"/>
      <c r="AT47" s="153"/>
      <c r="AU47" s="152"/>
      <c r="AV47" s="152"/>
      <c r="AW47" s="153"/>
      <c r="AX47" s="152"/>
      <c r="AY47" s="153"/>
      <c r="AZ47" s="152"/>
      <c r="BA47" s="152"/>
      <c r="BB47" s="153"/>
      <c r="BC47" s="152"/>
      <c r="BD47" s="153"/>
      <c r="BE47" s="152"/>
      <c r="BF47" s="152"/>
      <c r="BG47" s="153"/>
      <c r="BH47" s="152"/>
      <c r="BI47" s="153"/>
      <c r="BJ47" s="152"/>
      <c r="BK47" s="152"/>
      <c r="BL47" s="153"/>
      <c r="BM47" s="174"/>
      <c r="BN47" s="153"/>
      <c r="BO47" s="152"/>
      <c r="BP47" s="152"/>
      <c r="BQ47" s="153"/>
      <c r="BR47" s="174"/>
      <c r="BS47" s="153"/>
      <c r="BT47" s="152"/>
      <c r="BU47" s="152"/>
      <c r="BV47" s="153"/>
      <c r="BW47" s="174"/>
      <c r="BX47" s="153"/>
      <c r="BZ47" s="152"/>
      <c r="CA47" s="153"/>
      <c r="CB47" s="174"/>
      <c r="CC47" s="153"/>
      <c r="CE47" s="152"/>
      <c r="CF47" s="153"/>
      <c r="CG47" s="174"/>
      <c r="CH47" s="153"/>
      <c r="CJ47" s="152"/>
      <c r="CK47" s="153"/>
      <c r="CL47" s="174"/>
      <c r="CM47" s="153"/>
      <c r="CO47" s="152">
        <f>-9.3+3</f>
        <v>-6.3000000000000007</v>
      </c>
      <c r="CP47" s="153">
        <v>-66.599999999999994</v>
      </c>
      <c r="CQ47" s="174">
        <v>38.5</v>
      </c>
      <c r="CR47" s="153">
        <v>-7.2</v>
      </c>
      <c r="CT47" s="234">
        <v>-16</v>
      </c>
      <c r="CU47" s="273">
        <f>-36-CT47</f>
        <v>-20</v>
      </c>
      <c r="CV47" s="174">
        <v>-20</v>
      </c>
      <c r="CW47" s="273">
        <v>-38</v>
      </c>
      <c r="CY47" s="234">
        <v>-13</v>
      </c>
      <c r="CZ47" s="273">
        <f>-16-CY47</f>
        <v>-3</v>
      </c>
      <c r="DA47" s="309">
        <f>-36-CZ47-CY47</f>
        <v>-20</v>
      </c>
      <c r="DB47" s="273"/>
    </row>
    <row r="48" spans="1:106" x14ac:dyDescent="0.2">
      <c r="A48" s="11" t="s">
        <v>174</v>
      </c>
      <c r="C48" s="152"/>
      <c r="D48" s="153"/>
      <c r="E48" s="152"/>
      <c r="F48" s="153"/>
      <c r="G48" s="154"/>
      <c r="H48" s="152"/>
      <c r="I48" s="153"/>
      <c r="J48" s="152"/>
      <c r="K48" s="153"/>
      <c r="L48" s="154"/>
      <c r="M48" s="152"/>
      <c r="N48" s="153"/>
      <c r="O48" s="152"/>
      <c r="P48" s="153"/>
      <c r="Q48" s="154"/>
      <c r="R48" s="152"/>
      <c r="S48" s="153"/>
      <c r="T48" s="152"/>
      <c r="U48" s="153"/>
      <c r="V48" s="154"/>
      <c r="W48" s="152"/>
      <c r="X48" s="153"/>
      <c r="Y48" s="152"/>
      <c r="Z48" s="153"/>
      <c r="AA48" s="152"/>
      <c r="AB48" s="152"/>
      <c r="AC48" s="153"/>
      <c r="AD48" s="152"/>
      <c r="AE48" s="153"/>
      <c r="AF48" s="152"/>
      <c r="AG48" s="152"/>
      <c r="AH48" s="153"/>
      <c r="AI48" s="152"/>
      <c r="AJ48" s="153"/>
      <c r="AK48" s="152"/>
      <c r="AL48" s="152"/>
      <c r="AM48" s="153"/>
      <c r="AN48" s="152"/>
      <c r="AO48" s="153"/>
      <c r="AP48" s="152"/>
      <c r="AQ48" s="152"/>
      <c r="AR48" s="153"/>
      <c r="AS48" s="152"/>
      <c r="AT48" s="153"/>
      <c r="AU48" s="152"/>
      <c r="AV48" s="152"/>
      <c r="AW48" s="153"/>
      <c r="AX48" s="152"/>
      <c r="AY48" s="153"/>
      <c r="AZ48" s="152"/>
      <c r="BA48" s="152"/>
      <c r="BB48" s="153"/>
      <c r="BC48" s="152"/>
      <c r="BD48" s="153"/>
      <c r="BE48" s="152"/>
      <c r="BF48" s="152"/>
      <c r="BG48" s="153"/>
      <c r="BH48" s="152"/>
      <c r="BI48" s="153"/>
      <c r="BJ48" s="152"/>
      <c r="BK48" s="152"/>
      <c r="BL48" s="153"/>
      <c r="BM48" s="174"/>
      <c r="BN48" s="153"/>
      <c r="BO48" s="152"/>
      <c r="BP48" s="152"/>
      <c r="BQ48" s="153"/>
      <c r="BR48" s="174">
        <f>150-1.7</f>
        <v>148.30000000000001</v>
      </c>
      <c r="BS48" s="153"/>
      <c r="BT48" s="152"/>
      <c r="BU48" s="152"/>
      <c r="BV48" s="153"/>
      <c r="BW48" s="174"/>
      <c r="BX48" s="153"/>
      <c r="BZ48" s="152"/>
      <c r="CA48" s="153"/>
      <c r="CB48" s="174"/>
      <c r="CC48" s="153"/>
      <c r="CE48" s="152"/>
      <c r="CF48" s="153"/>
      <c r="CG48" s="174"/>
      <c r="CH48" s="153"/>
      <c r="CJ48" s="152"/>
      <c r="CK48" s="153"/>
      <c r="CL48" s="174">
        <v>-7.4</v>
      </c>
      <c r="CM48" s="153"/>
      <c r="CO48" s="152"/>
      <c r="CP48" s="153"/>
      <c r="CQ48" s="174"/>
      <c r="CR48" s="153"/>
      <c r="CT48" s="234"/>
      <c r="CU48" s="273"/>
      <c r="CV48" s="174"/>
      <c r="CW48" s="273"/>
      <c r="CY48" s="234"/>
      <c r="CZ48" s="273"/>
      <c r="DA48" s="309"/>
      <c r="DB48" s="273"/>
    </row>
    <row r="49" spans="1:106" x14ac:dyDescent="0.2">
      <c r="A49" s="11" t="s">
        <v>176</v>
      </c>
      <c r="C49" s="152"/>
      <c r="D49" s="153"/>
      <c r="E49" s="152"/>
      <c r="F49" s="153"/>
      <c r="G49" s="154"/>
      <c r="H49" s="152"/>
      <c r="I49" s="153"/>
      <c r="J49" s="152"/>
      <c r="K49" s="153"/>
      <c r="L49" s="154"/>
      <c r="M49" s="152"/>
      <c r="N49" s="153"/>
      <c r="O49" s="152"/>
      <c r="P49" s="153"/>
      <c r="Q49" s="154"/>
      <c r="R49" s="152"/>
      <c r="S49" s="153"/>
      <c r="T49" s="152"/>
      <c r="U49" s="153"/>
      <c r="V49" s="154"/>
      <c r="W49" s="152"/>
      <c r="X49" s="153"/>
      <c r="Y49" s="152"/>
      <c r="Z49" s="153"/>
      <c r="AA49" s="152"/>
      <c r="AB49" s="152"/>
      <c r="AC49" s="153"/>
      <c r="AD49" s="152"/>
      <c r="AE49" s="153"/>
      <c r="AF49" s="152"/>
      <c r="AG49" s="152"/>
      <c r="AH49" s="153"/>
      <c r="AI49" s="152"/>
      <c r="AJ49" s="153"/>
      <c r="AK49" s="152"/>
      <c r="AL49" s="152"/>
      <c r="AM49" s="153"/>
      <c r="AN49" s="152"/>
      <c r="AO49" s="153"/>
      <c r="AP49" s="152"/>
      <c r="AQ49" s="152"/>
      <c r="AR49" s="153"/>
      <c r="AS49" s="152"/>
      <c r="AT49" s="153"/>
      <c r="AU49" s="152"/>
      <c r="AV49" s="152"/>
      <c r="AW49" s="153"/>
      <c r="AX49" s="152"/>
      <c r="AY49" s="153"/>
      <c r="AZ49" s="152"/>
      <c r="BA49" s="152"/>
      <c r="BB49" s="153"/>
      <c r="BC49" s="152"/>
      <c r="BD49" s="153"/>
      <c r="BE49" s="152"/>
      <c r="BF49" s="152"/>
      <c r="BG49" s="153"/>
      <c r="BH49" s="152"/>
      <c r="BI49" s="153"/>
      <c r="BJ49" s="152"/>
      <c r="BK49" s="152"/>
      <c r="BL49" s="153"/>
      <c r="BM49" s="174"/>
      <c r="BN49" s="153"/>
      <c r="BO49" s="152"/>
      <c r="BP49" s="152"/>
      <c r="BQ49" s="153"/>
      <c r="BR49" s="174"/>
      <c r="BS49" s="153"/>
      <c r="BT49" s="152"/>
      <c r="BU49" s="152"/>
      <c r="BV49" s="153"/>
      <c r="BW49" s="174">
        <v>-8.1</v>
      </c>
      <c r="BX49" s="153"/>
      <c r="BZ49" s="152"/>
      <c r="CA49" s="153"/>
      <c r="CB49" s="174">
        <v>-8.1</v>
      </c>
      <c r="CC49" s="153"/>
      <c r="CE49" s="152"/>
      <c r="CF49" s="153"/>
      <c r="CG49" s="174">
        <v>-8.1</v>
      </c>
      <c r="CH49" s="153"/>
      <c r="CJ49" s="152"/>
      <c r="CK49" s="153"/>
      <c r="CL49" s="174"/>
      <c r="CM49" s="153"/>
      <c r="CO49" s="152"/>
      <c r="CP49" s="153"/>
      <c r="CQ49" s="174">
        <v>-9.1</v>
      </c>
      <c r="CR49" s="153"/>
      <c r="CT49" s="234"/>
      <c r="CU49" s="273"/>
      <c r="CV49" s="174">
        <v>-11</v>
      </c>
      <c r="CW49" s="273"/>
      <c r="CY49" s="234"/>
      <c r="CZ49" s="273"/>
      <c r="DA49" s="309">
        <v>-11</v>
      </c>
      <c r="DB49" s="273"/>
    </row>
    <row r="50" spans="1:106" x14ac:dyDescent="0.2">
      <c r="A50" s="11" t="s">
        <v>138</v>
      </c>
      <c r="C50" s="152"/>
      <c r="D50" s="153"/>
      <c r="E50" s="152"/>
      <c r="F50" s="153"/>
      <c r="G50" s="154"/>
      <c r="H50" s="152"/>
      <c r="I50" s="153"/>
      <c r="J50" s="152"/>
      <c r="K50" s="153"/>
      <c r="L50" s="154"/>
      <c r="M50" s="152"/>
      <c r="N50" s="153"/>
      <c r="O50" s="152"/>
      <c r="P50" s="153"/>
      <c r="Q50" s="154"/>
      <c r="R50" s="152"/>
      <c r="S50" s="153"/>
      <c r="T50" s="152"/>
      <c r="U50" s="153"/>
      <c r="V50" s="154"/>
      <c r="W50" s="152"/>
      <c r="X50" s="153"/>
      <c r="Y50" s="152"/>
      <c r="Z50" s="153"/>
      <c r="AA50" s="152"/>
      <c r="AB50" s="152"/>
      <c r="AC50" s="153"/>
      <c r="AD50" s="152"/>
      <c r="AE50" s="153"/>
      <c r="AF50" s="152"/>
      <c r="AG50" s="152"/>
      <c r="AH50" s="153"/>
      <c r="AI50" s="152"/>
      <c r="AJ50" s="153"/>
      <c r="AK50" s="152"/>
      <c r="AL50" s="152"/>
      <c r="AM50" s="153"/>
      <c r="AN50" s="152"/>
      <c r="AO50" s="153"/>
      <c r="AP50" s="152"/>
      <c r="AQ50" s="152"/>
      <c r="AR50" s="153"/>
      <c r="AS50" s="152"/>
      <c r="AT50" s="153"/>
      <c r="AU50" s="152"/>
      <c r="AV50" s="152"/>
      <c r="AW50" s="153"/>
      <c r="AX50" s="152"/>
      <c r="AY50" s="153"/>
      <c r="AZ50" s="152"/>
      <c r="BA50" s="152"/>
      <c r="BB50" s="153"/>
      <c r="BC50" s="152"/>
      <c r="BD50" s="153"/>
      <c r="BE50" s="152"/>
      <c r="BF50" s="152"/>
      <c r="BG50" s="153"/>
      <c r="BH50" s="152"/>
      <c r="BI50" s="153">
        <v>184.8</v>
      </c>
      <c r="BJ50" s="152"/>
      <c r="BK50" s="152"/>
      <c r="BL50" s="153"/>
      <c r="BM50" s="174"/>
      <c r="BN50" s="153"/>
      <c r="BO50" s="152"/>
      <c r="BP50" s="152"/>
      <c r="BQ50" s="153"/>
      <c r="BR50" s="174"/>
      <c r="BS50" s="153"/>
      <c r="BT50" s="152"/>
      <c r="BU50" s="152"/>
      <c r="BV50" s="153"/>
      <c r="BW50" s="174"/>
      <c r="BX50" s="153"/>
      <c r="BZ50" s="152"/>
      <c r="CA50" s="153">
        <v>89.2</v>
      </c>
      <c r="CB50" s="174"/>
      <c r="CC50" s="153">
        <v>169.4</v>
      </c>
      <c r="CE50" s="152"/>
      <c r="CF50" s="153"/>
      <c r="CG50" s="174"/>
      <c r="CH50" s="153"/>
      <c r="CJ50" s="152"/>
      <c r="CK50" s="153"/>
      <c r="CL50" s="174"/>
      <c r="CM50" s="153"/>
      <c r="CO50" s="152"/>
      <c r="CP50" s="153"/>
      <c r="CQ50" s="174">
        <v>357.5</v>
      </c>
      <c r="CR50" s="153">
        <v>0</v>
      </c>
      <c r="CT50" s="234"/>
      <c r="CU50" s="273"/>
      <c r="CV50" s="174"/>
      <c r="CW50" s="273">
        <f>-2+3</f>
        <v>1</v>
      </c>
      <c r="CY50" s="234">
        <v>1</v>
      </c>
      <c r="CZ50" s="273">
        <v>1</v>
      </c>
      <c r="DA50" s="309">
        <v>0</v>
      </c>
      <c r="DB50" s="273"/>
    </row>
    <row r="51" spans="1:106" x14ac:dyDescent="0.2">
      <c r="A51" s="11" t="s">
        <v>170</v>
      </c>
      <c r="C51" s="152"/>
      <c r="D51" s="153"/>
      <c r="E51" s="152"/>
      <c r="F51" s="153"/>
      <c r="G51" s="154"/>
      <c r="H51" s="152"/>
      <c r="I51" s="153"/>
      <c r="J51" s="152"/>
      <c r="K51" s="153"/>
      <c r="L51" s="154"/>
      <c r="M51" s="152"/>
      <c r="N51" s="153"/>
      <c r="O51" s="152"/>
      <c r="P51" s="153"/>
      <c r="Q51" s="154"/>
      <c r="R51" s="152"/>
      <c r="S51" s="153"/>
      <c r="T51" s="152"/>
      <c r="U51" s="153"/>
      <c r="V51" s="154"/>
      <c r="W51" s="152"/>
      <c r="X51" s="153"/>
      <c r="Y51" s="152"/>
      <c r="Z51" s="153"/>
      <c r="AA51" s="152"/>
      <c r="AB51" s="152"/>
      <c r="AC51" s="153"/>
      <c r="AD51" s="152"/>
      <c r="AE51" s="153"/>
      <c r="AF51" s="152"/>
      <c r="AG51" s="152"/>
      <c r="AH51" s="153"/>
      <c r="AI51" s="152"/>
      <c r="AJ51" s="153"/>
      <c r="AK51" s="152"/>
      <c r="AL51" s="152"/>
      <c r="AM51" s="153"/>
      <c r="AN51" s="152"/>
      <c r="AO51" s="153"/>
      <c r="AP51" s="152"/>
      <c r="AQ51" s="152"/>
      <c r="AR51" s="153"/>
      <c r="AS51" s="152"/>
      <c r="AT51" s="153"/>
      <c r="AU51" s="152"/>
      <c r="AV51" s="152"/>
      <c r="AW51" s="153"/>
      <c r="AX51" s="152"/>
      <c r="AY51" s="153"/>
      <c r="AZ51" s="152"/>
      <c r="BA51" s="152"/>
      <c r="BB51" s="153"/>
      <c r="BC51" s="152"/>
      <c r="BD51" s="153"/>
      <c r="BE51" s="152"/>
      <c r="BF51" s="152"/>
      <c r="BG51" s="153"/>
      <c r="BH51" s="152"/>
      <c r="BI51" s="153"/>
      <c r="BJ51" s="152"/>
      <c r="BK51" s="152"/>
      <c r="BL51" s="153"/>
      <c r="BM51" s="174">
        <v>0</v>
      </c>
      <c r="BN51" s="153">
        <v>-1039.3</v>
      </c>
      <c r="BO51" s="152"/>
      <c r="BP51" s="152"/>
      <c r="BQ51" s="153"/>
      <c r="BR51" s="174"/>
      <c r="BS51" s="153"/>
      <c r="BT51" s="152"/>
      <c r="BU51" s="152"/>
      <c r="BV51" s="153"/>
      <c r="BW51" s="174"/>
      <c r="BX51" s="153"/>
      <c r="BZ51" s="152"/>
      <c r="CA51" s="153"/>
      <c r="CB51" s="174"/>
      <c r="CC51" s="153"/>
      <c r="CE51" s="152"/>
      <c r="CF51" s="153"/>
      <c r="CG51" s="174"/>
      <c r="CH51" s="153"/>
      <c r="CJ51" s="152"/>
      <c r="CK51" s="153"/>
      <c r="CL51" s="174"/>
      <c r="CM51" s="153"/>
      <c r="CO51" s="152"/>
      <c r="CP51" s="153"/>
      <c r="CQ51" s="174"/>
      <c r="CR51" s="153"/>
      <c r="CT51" s="234"/>
      <c r="CU51" s="273"/>
      <c r="CV51" s="174"/>
      <c r="CW51" s="273"/>
      <c r="CY51" s="234"/>
      <c r="CZ51" s="273"/>
      <c r="DA51" s="174"/>
      <c r="DB51" s="273"/>
    </row>
    <row r="52" spans="1:106" s="77" customFormat="1" x14ac:dyDescent="0.2">
      <c r="A52" s="77" t="s">
        <v>78</v>
      </c>
      <c r="B52" s="78"/>
      <c r="C52" s="155">
        <v>0</v>
      </c>
      <c r="D52" s="156">
        <v>-26.308724832214764</v>
      </c>
      <c r="E52" s="155">
        <v>0</v>
      </c>
      <c r="F52" s="156">
        <v>0</v>
      </c>
      <c r="G52" s="157"/>
      <c r="H52" s="155">
        <v>0</v>
      </c>
      <c r="I52" s="156">
        <v>-39.463087248322147</v>
      </c>
      <c r="J52" s="155">
        <v>0</v>
      </c>
      <c r="K52" s="156">
        <v>0</v>
      </c>
      <c r="L52" s="157"/>
      <c r="M52" s="155">
        <v>0</v>
      </c>
      <c r="N52" s="156">
        <v>-31.677852348993287</v>
      </c>
      <c r="O52" s="155">
        <v>0</v>
      </c>
      <c r="P52" s="156">
        <v>0</v>
      </c>
      <c r="Q52" s="157"/>
      <c r="R52" s="155">
        <v>0</v>
      </c>
      <c r="S52" s="156">
        <v>-34.899328859060404</v>
      </c>
      <c r="T52" s="155">
        <v>0</v>
      </c>
      <c r="U52" s="156">
        <v>0</v>
      </c>
      <c r="V52" s="157"/>
      <c r="W52" s="155">
        <v>0</v>
      </c>
      <c r="X52" s="156">
        <v>0</v>
      </c>
      <c r="Y52" s="175">
        <v>0</v>
      </c>
      <c r="Z52" s="156">
        <v>0</v>
      </c>
      <c r="AA52" s="155"/>
      <c r="AB52" s="155">
        <v>-11.140939597315436</v>
      </c>
      <c r="AC52" s="156">
        <v>0</v>
      </c>
      <c r="AD52" s="175">
        <v>0</v>
      </c>
      <c r="AE52" s="156">
        <v>0</v>
      </c>
      <c r="AF52" s="155"/>
      <c r="AG52" s="155">
        <v>-6.3087248322147653</v>
      </c>
      <c r="AH52" s="156">
        <v>0</v>
      </c>
      <c r="AI52" s="175">
        <v>0</v>
      </c>
      <c r="AJ52" s="156">
        <v>0</v>
      </c>
      <c r="AK52" s="155"/>
      <c r="AL52" s="155">
        <v>-6.4429530201342278</v>
      </c>
      <c r="AM52" s="156">
        <v>0</v>
      </c>
      <c r="AN52" s="175">
        <v>0</v>
      </c>
      <c r="AO52" s="156">
        <v>0</v>
      </c>
      <c r="AP52" s="155"/>
      <c r="AQ52" s="155">
        <v>-25.63758389261745</v>
      </c>
      <c r="AR52" s="156">
        <v>0</v>
      </c>
      <c r="AS52" s="175">
        <v>0</v>
      </c>
      <c r="AT52" s="156">
        <v>0</v>
      </c>
      <c r="AU52" s="155"/>
      <c r="AV52" s="155">
        <v>-11.275167785234899</v>
      </c>
      <c r="AW52" s="156">
        <v>0</v>
      </c>
      <c r="AX52" s="175">
        <v>0</v>
      </c>
      <c r="AY52" s="156">
        <v>0</v>
      </c>
      <c r="AZ52" s="155"/>
      <c r="BA52" s="155">
        <v>-13.020134228187919</v>
      </c>
      <c r="BB52" s="156">
        <v>0</v>
      </c>
      <c r="BC52" s="175">
        <v>0</v>
      </c>
      <c r="BD52" s="156">
        <v>0</v>
      </c>
      <c r="BE52" s="155"/>
      <c r="BF52" s="155">
        <v>-13</v>
      </c>
      <c r="BG52" s="156">
        <v>0</v>
      </c>
      <c r="BH52" s="175">
        <v>0</v>
      </c>
      <c r="BI52" s="156">
        <v>0</v>
      </c>
      <c r="BJ52" s="155"/>
      <c r="BK52" s="155">
        <v>0</v>
      </c>
      <c r="BL52" s="156">
        <v>0</v>
      </c>
      <c r="BM52" s="175">
        <v>0</v>
      </c>
      <c r="BN52" s="156"/>
      <c r="BO52" s="155"/>
      <c r="BP52" s="155"/>
      <c r="BQ52" s="156"/>
      <c r="BR52" s="175"/>
      <c r="BS52" s="156"/>
      <c r="BT52" s="155"/>
      <c r="BU52" s="155"/>
      <c r="BV52" s="156"/>
      <c r="BW52" s="175"/>
      <c r="BX52" s="156"/>
      <c r="BZ52" s="155"/>
      <c r="CA52" s="156"/>
      <c r="CB52" s="175"/>
      <c r="CC52" s="156"/>
      <c r="CE52" s="155"/>
      <c r="CF52" s="156"/>
      <c r="CG52" s="175"/>
      <c r="CH52" s="156"/>
      <c r="CJ52" s="155"/>
      <c r="CK52" s="156"/>
      <c r="CL52" s="175"/>
      <c r="CM52" s="156"/>
      <c r="CO52" s="155"/>
      <c r="CP52" s="156"/>
      <c r="CQ52" s="175"/>
      <c r="CR52" s="156"/>
      <c r="CT52" s="235"/>
      <c r="CU52" s="274"/>
      <c r="CV52" s="175"/>
      <c r="CW52" s="156"/>
      <c r="CY52" s="235"/>
      <c r="CZ52" s="274"/>
      <c r="DA52" s="175"/>
      <c r="DB52" s="156"/>
    </row>
    <row r="53" spans="1:106" s="136" customFormat="1" x14ac:dyDescent="0.2">
      <c r="A53" s="136" t="s">
        <v>105</v>
      </c>
      <c r="B53" s="135"/>
      <c r="C53" s="176">
        <f>SUM(C41:C52)</f>
        <v>375.83892617449663</v>
      </c>
      <c r="D53" s="177">
        <f>SUM(D41:D52)</f>
        <v>370.73825503355704</v>
      </c>
      <c r="E53" s="176">
        <f>SUM(E41:E52)</f>
        <v>353.82550335570471</v>
      </c>
      <c r="F53" s="177">
        <f>SUM(F41:F52)</f>
        <v>367.11409395973152</v>
      </c>
      <c r="G53" s="178"/>
      <c r="H53" s="176">
        <f>SUM(H41:H52)</f>
        <v>372.48322147651004</v>
      </c>
      <c r="I53" s="177">
        <f>SUM(I41:I52)</f>
        <v>348.5906040268456</v>
      </c>
      <c r="J53" s="176">
        <f>SUM(J41:J52)</f>
        <v>359.32885906040264</v>
      </c>
      <c r="K53" s="177">
        <f>SUM(K41:K52)</f>
        <v>376.6442953020134</v>
      </c>
      <c r="L53" s="178"/>
      <c r="M53" s="176">
        <f>SUM(M41:M52)</f>
        <v>390.20134228187914</v>
      </c>
      <c r="N53" s="177">
        <f>SUM(N41:N52)</f>
        <v>385.50335570469792</v>
      </c>
      <c r="O53" s="176">
        <f>SUM(O41:O52)</f>
        <v>401.2080536912751</v>
      </c>
      <c r="P53" s="177">
        <f>SUM(P41:P52)</f>
        <v>440.67114093959725</v>
      </c>
      <c r="Q53" s="178"/>
      <c r="R53" s="176">
        <f>SUM(R41:R52)</f>
        <v>453.15436241610735</v>
      </c>
      <c r="S53" s="177">
        <f>SUM(S41:S52)</f>
        <v>455.97315436241604</v>
      </c>
      <c r="T53" s="176">
        <f>SUM(T41:T52)</f>
        <v>489.12751677852344</v>
      </c>
      <c r="U53" s="177">
        <f>SUM(U41:U52)</f>
        <v>465.06040268456371</v>
      </c>
      <c r="V53" s="178"/>
      <c r="W53" s="176">
        <f>SUM(W41:W52)</f>
        <v>467.47651006711402</v>
      </c>
      <c r="X53" s="177">
        <f>SUM(X41:X52)</f>
        <v>475.39597315436237</v>
      </c>
      <c r="Y53" s="176">
        <f>SUM(Y41:Y52)</f>
        <v>480.3624161073825</v>
      </c>
      <c r="Z53" s="177">
        <f>SUM(Z41:Z52)</f>
        <v>501.97315436241604</v>
      </c>
      <c r="AA53" s="176"/>
      <c r="AB53" s="176">
        <f>SUM(AB41:AB52)</f>
        <v>514.32214765100662</v>
      </c>
      <c r="AC53" s="177">
        <f>SUM(AC41:AC52)</f>
        <v>543.98657718120796</v>
      </c>
      <c r="AD53" s="176">
        <f>SUM(AD41:AD52)</f>
        <v>536.73825503355692</v>
      </c>
      <c r="AE53" s="177">
        <f>SUM(AE41:AE52)</f>
        <v>551.9060402684562</v>
      </c>
      <c r="AF53" s="176"/>
      <c r="AG53" s="176">
        <f>SUM(AG41:AG52)</f>
        <v>536.0671140939595</v>
      </c>
      <c r="AH53" s="177">
        <f>SUM(AH41:AH52)</f>
        <v>535.3959731543622</v>
      </c>
      <c r="AI53" s="176">
        <f>SUM(AI41:AI52)</f>
        <v>537.67785234899316</v>
      </c>
      <c r="AJ53" s="177">
        <f>SUM(AJ41:AJ52)</f>
        <v>545.73154362416096</v>
      </c>
      <c r="AK53" s="176"/>
      <c r="AL53" s="176">
        <f>SUM(AL41:AL52)</f>
        <v>553.24832214765081</v>
      </c>
      <c r="AM53" s="176">
        <f>SUM(AM41:AM52)</f>
        <v>745.99999999999977</v>
      </c>
      <c r="AN53" s="176">
        <f>SUM(AN41:AN52)</f>
        <v>759.28859060402669</v>
      </c>
      <c r="AO53" s="177">
        <f>SUM(AO41:AO52)</f>
        <v>770.02684563758373</v>
      </c>
      <c r="AP53" s="176"/>
      <c r="AQ53" s="176">
        <f>SUM(AQ41:AQ52)</f>
        <v>748.81879194630847</v>
      </c>
      <c r="AR53" s="177">
        <f>SUM(AR41:AR52)</f>
        <v>752.97986577181177</v>
      </c>
      <c r="AS53" s="176">
        <f>SUM(AS41:AS52)</f>
        <v>754.05369127516747</v>
      </c>
      <c r="AT53" s="177">
        <f>SUM(AT41:AT52)</f>
        <v>761.57046979865731</v>
      </c>
      <c r="AU53" s="176"/>
      <c r="AV53" s="176">
        <f>SUM(AV41:AV52)</f>
        <v>752.44295302013381</v>
      </c>
      <c r="AW53" s="177">
        <f>SUM(AW41:AW52)</f>
        <v>763.85234899328816</v>
      </c>
      <c r="AX53" s="176">
        <f>SUM(AX41:AX52)</f>
        <v>794.45637583892574</v>
      </c>
      <c r="AY53" s="177">
        <f>SUM(AY41:AY52)</f>
        <v>801.9731543624157</v>
      </c>
      <c r="AZ53" s="176"/>
      <c r="BA53" s="176">
        <f>SUM(BA41:BA52)</f>
        <v>847.87919463087201</v>
      </c>
      <c r="BB53" s="177">
        <f>SUM(BB41:BB52)</f>
        <v>803.44966442952966</v>
      </c>
      <c r="BC53" s="176">
        <f>SUM(BC41:BC52)</f>
        <v>799.69127516778474</v>
      </c>
      <c r="BD53" s="177">
        <f>SUM(BD41:BD52)</f>
        <v>809.45127516778484</v>
      </c>
      <c r="BE53" s="176"/>
      <c r="BF53" s="176">
        <f>SUM(BF41:BF52)</f>
        <v>802.95227516778493</v>
      </c>
      <c r="BG53" s="177">
        <f>SUM(BG41:BG52)</f>
        <v>801.65227516778498</v>
      </c>
      <c r="BH53" s="176">
        <f>SUM(BH41:BH52)</f>
        <v>760.15227516778498</v>
      </c>
      <c r="BI53" s="177">
        <f>SUM(BI41:BI52)</f>
        <v>951.35227516778491</v>
      </c>
      <c r="BJ53" s="176"/>
      <c r="BK53" s="176">
        <f>SUM(BK41:BK52)</f>
        <v>971.45227516778493</v>
      </c>
      <c r="BL53" s="177">
        <f>SUM(BL41:BL52)</f>
        <v>982.15227516778498</v>
      </c>
      <c r="BM53" s="176">
        <f>SUM(BM41:BM52)</f>
        <v>993.252275167785</v>
      </c>
      <c r="BN53" s="177">
        <f>SUM(BN41:BN52)</f>
        <v>816.25227516778523</v>
      </c>
      <c r="BO53" s="176"/>
      <c r="BP53" s="176">
        <f>SUM(BP41:BP52)</f>
        <v>774.85227516778525</v>
      </c>
      <c r="BQ53" s="177">
        <f>SUM(BQ41:BQ52)</f>
        <v>767.15227516778532</v>
      </c>
      <c r="BR53" s="176">
        <f>SUM(BR41:BR52)</f>
        <v>924.45227516778527</v>
      </c>
      <c r="BS53" s="177">
        <f>SUM(BS41:BS52)</f>
        <v>895.55227516778518</v>
      </c>
      <c r="BT53" s="176"/>
      <c r="BU53" s="176">
        <f>SUM(BU41:BU52)</f>
        <v>868.15227516778521</v>
      </c>
      <c r="BV53" s="177">
        <f>SUM(BV41:BV52)</f>
        <v>844.05227516778518</v>
      </c>
      <c r="BW53" s="176">
        <f>SUM(BW41:BW52)</f>
        <v>806.25227516778511</v>
      </c>
      <c r="BX53" s="177">
        <f>SUM(BX41:BX52)</f>
        <v>803.75227516778511</v>
      </c>
      <c r="BZ53" s="176">
        <f>SUM(BZ41:BZ52)</f>
        <v>723.85227516778514</v>
      </c>
      <c r="CA53" s="177">
        <f>SUM(CA41:CA52)</f>
        <v>862.15227516778521</v>
      </c>
      <c r="CB53" s="176">
        <f>SUM(CB41:CB52)</f>
        <v>853.25227516778511</v>
      </c>
      <c r="CC53" s="177">
        <f>SUM(CC41:CC52)</f>
        <v>1076.3522751677851</v>
      </c>
      <c r="CE53" s="176">
        <f>SUM(CE41:CE52)</f>
        <v>1109.1522751677851</v>
      </c>
      <c r="CF53" s="177">
        <f>SUM(CF41:CF52)</f>
        <v>1161.952275167785</v>
      </c>
      <c r="CG53" s="176">
        <f>SUM(CG41:CG52)</f>
        <v>1129.2522751677852</v>
      </c>
      <c r="CH53" s="177">
        <f>SUM(CH41:CH52)</f>
        <v>1159.8522751677851</v>
      </c>
      <c r="CJ53" s="176">
        <f>SUM(CJ41:CJ52)</f>
        <v>1215.9522751677853</v>
      </c>
      <c r="CK53" s="177">
        <f>SUM(CK41:CK52)</f>
        <v>1101.1522751677851</v>
      </c>
      <c r="CL53" s="176">
        <f>SUM(CL41:CL52)</f>
        <v>1082.1522751677851</v>
      </c>
      <c r="CM53" s="177">
        <f>SUM(CM41:CM52)</f>
        <v>1143.752275167785</v>
      </c>
      <c r="CO53" s="176">
        <f>SUM(CO41:CO52)</f>
        <v>1170.1522751677851</v>
      </c>
      <c r="CP53" s="177">
        <f>+SUM(CP41:CP52)</f>
        <v>1099.0522751677852</v>
      </c>
      <c r="CQ53" s="176">
        <f>SUM(CQ41:CQ52)</f>
        <v>1520.9522751677853</v>
      </c>
      <c r="CR53" s="177">
        <f>+SUM(CR41:CR52)</f>
        <v>1574.9522751677853</v>
      </c>
      <c r="CT53" s="239">
        <f>SUM(CT41:CT52)</f>
        <v>1596.9522751677853</v>
      </c>
      <c r="CU53" s="279">
        <f>+SUM(CU41:CU52)</f>
        <v>1828.9522751677853</v>
      </c>
      <c r="CV53" s="239">
        <f>SUM(CV41:CV52)</f>
        <v>1869.9522751677853</v>
      </c>
      <c r="CW53" s="279">
        <f>+SUM(CW41:CW52)</f>
        <v>1852.9522751677853</v>
      </c>
      <c r="CY53" s="239">
        <f>SUM(CY41:CY52)</f>
        <v>1985.9522751677853</v>
      </c>
      <c r="CZ53" s="279">
        <f>+SUM(CZ41:CZ52)</f>
        <v>1952.9522751677853</v>
      </c>
      <c r="DA53" s="239">
        <f>SUM(DA41:DA52)</f>
        <v>2027.952275167785</v>
      </c>
      <c r="DB53" s="279"/>
    </row>
    <row r="54" spans="1:106" x14ac:dyDescent="0.2">
      <c r="AV54" s="87"/>
      <c r="BA54" s="87"/>
      <c r="BF54" s="87"/>
      <c r="BK54" s="87"/>
      <c r="BP54" s="87"/>
      <c r="BU54" s="87"/>
      <c r="BZ54" s="87"/>
    </row>
    <row r="62" spans="1:106" x14ac:dyDescent="0.2">
      <c r="CU62" s="6"/>
    </row>
  </sheetData>
  <mergeCells count="34">
    <mergeCell ref="CJ2:CM2"/>
    <mergeCell ref="CE2:CH2"/>
    <mergeCell ref="AB2:AE2"/>
    <mergeCell ref="AG1:AJ1"/>
    <mergeCell ref="AG2:AJ2"/>
    <mergeCell ref="BZ2:CC2"/>
    <mergeCell ref="BU2:BX2"/>
    <mergeCell ref="BP2:BS2"/>
    <mergeCell ref="AQ1:AT1"/>
    <mergeCell ref="AQ2:AT2"/>
    <mergeCell ref="AB1:AE1"/>
    <mergeCell ref="H2:K2"/>
    <mergeCell ref="W1:Z1"/>
    <mergeCell ref="R2:U2"/>
    <mergeCell ref="BK1:BO1"/>
    <mergeCell ref="BK2:BN2"/>
    <mergeCell ref="BF1:BI1"/>
    <mergeCell ref="BF2:BI2"/>
    <mergeCell ref="CY2:DB2"/>
    <mergeCell ref="CT2:CW2"/>
    <mergeCell ref="CO2:CR2"/>
    <mergeCell ref="C1:F1"/>
    <mergeCell ref="BA1:BD1"/>
    <mergeCell ref="BA2:BD2"/>
    <mergeCell ref="M1:P1"/>
    <mergeCell ref="R1:U1"/>
    <mergeCell ref="M2:P2"/>
    <mergeCell ref="W2:Z2"/>
    <mergeCell ref="AL2:AO2"/>
    <mergeCell ref="C2:F2"/>
    <mergeCell ref="AV1:AY1"/>
    <mergeCell ref="AV2:AY2"/>
    <mergeCell ref="AL1:AO1"/>
    <mergeCell ref="H1:K1"/>
  </mergeCells>
  <phoneticPr fontId="0" type="noConversion"/>
  <pageMargins left="0.43307086614173229" right="0.35433070866141736" top="0.55118110236220474" bottom="0.59055118110236227" header="0.51181102362204722" footer="0.51181102362204722"/>
  <pageSetup paperSize="9" scale="8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W21"/>
  <sheetViews>
    <sheetView showGridLines="0" zoomScale="90" zoomScaleNormal="90" zoomScaleSheetLayoutView="75" workbookViewId="0">
      <pane xSplit="1" ySplit="4" topLeftCell="CZ5" activePane="bottomRight" state="frozen"/>
      <selection activeCell="O4" sqref="O4"/>
      <selection pane="topRight" activeCell="O4" sqref="O4"/>
      <selection pane="bottomLeft" activeCell="O4" sqref="O4"/>
      <selection pane="bottomRight" activeCell="CZ1" sqref="CZ1"/>
    </sheetView>
  </sheetViews>
  <sheetFormatPr defaultColWidth="9.140625" defaultRowHeight="12.75" x14ac:dyDescent="0.2"/>
  <cols>
    <col min="1" max="1" width="37.140625" style="11" customWidth="1"/>
    <col min="2" max="2" width="4.7109375" style="11" customWidth="1"/>
    <col min="3" max="6" width="8.7109375" style="11" customWidth="1"/>
    <col min="7" max="7" width="8.7109375" style="74" customWidth="1"/>
    <col min="8" max="8" width="4.7109375" style="11" customWidth="1"/>
    <col min="9" max="12" width="8.7109375" style="11" customWidth="1"/>
    <col min="13" max="13" width="8.7109375" style="74" customWidth="1"/>
    <col min="14" max="14" width="4.7109375" style="11" customWidth="1"/>
    <col min="15" max="18" width="8.7109375" style="11" customWidth="1"/>
    <col min="19" max="19" width="8.7109375" style="74" customWidth="1"/>
    <col min="20" max="20" width="4.7109375" style="11" customWidth="1"/>
    <col min="21" max="21" width="8.7109375" style="11" customWidth="1" collapsed="1"/>
    <col min="22" max="24" width="8.7109375" style="11" customWidth="1"/>
    <col min="25" max="25" width="8.7109375" style="74" customWidth="1"/>
    <col min="26" max="26" width="4.7109375" style="11" customWidth="1"/>
    <col min="27" max="30" width="8.7109375" style="11" customWidth="1"/>
    <col min="31" max="31" width="8.7109375" style="74" customWidth="1"/>
    <col min="32" max="32" width="4.7109375" style="11" customWidth="1"/>
    <col min="33" max="36" width="8.7109375" style="11" customWidth="1"/>
    <col min="37" max="37" width="8.7109375" style="74" customWidth="1"/>
    <col min="38" max="38" width="4.7109375" style="11" customWidth="1"/>
    <col min="39" max="43" width="8.7109375" style="11" customWidth="1"/>
    <col min="44" max="44" width="4.7109375" style="11" customWidth="1"/>
    <col min="45" max="49" width="8.7109375" style="11" customWidth="1"/>
    <col min="50" max="50" width="4.7109375" style="11" customWidth="1"/>
    <col min="51" max="55" width="8.7109375" style="11" customWidth="1"/>
    <col min="56" max="56" width="4.7109375" style="11" customWidth="1"/>
    <col min="57" max="61" width="8.7109375" style="11" customWidth="1"/>
    <col min="62" max="62" width="4.7109375" style="11" customWidth="1"/>
    <col min="63" max="67" width="8.7109375" style="11" customWidth="1"/>
    <col min="68" max="68" width="4.7109375" style="11" customWidth="1"/>
    <col min="69" max="73" width="8.7109375" style="11" customWidth="1"/>
    <col min="74" max="74" width="4.5703125" style="11" customWidth="1"/>
    <col min="75" max="79" width="8.7109375" style="11" customWidth="1"/>
    <col min="80" max="80" width="4.5703125" style="11" customWidth="1"/>
    <col min="81" max="85" width="8.7109375" style="11" customWidth="1"/>
    <col min="86" max="86" width="4.5703125" style="11" customWidth="1"/>
    <col min="87" max="91" width="8.7109375" style="11" customWidth="1"/>
    <col min="92" max="92" width="4.28515625" style="11" customWidth="1"/>
    <col min="93" max="97" width="9.140625" style="11"/>
    <col min="98" max="98" width="4.28515625" style="11" customWidth="1"/>
    <col min="99" max="103" width="9.140625" style="11"/>
    <col min="104" max="104" width="3.7109375" style="11" customWidth="1"/>
    <col min="105" max="109" width="9.140625" style="11"/>
    <col min="110" max="110" width="3.7109375" style="11" customWidth="1"/>
    <col min="111" max="16384" width="9.140625" style="11"/>
  </cols>
  <sheetData>
    <row r="1" spans="1:127" x14ac:dyDescent="0.2">
      <c r="C1" s="319"/>
      <c r="D1" s="319"/>
      <c r="E1" s="319"/>
      <c r="F1" s="319"/>
      <c r="G1" s="319"/>
      <c r="I1" s="319"/>
      <c r="J1" s="319"/>
      <c r="K1" s="319"/>
      <c r="L1" s="319"/>
      <c r="M1" s="319"/>
      <c r="O1" s="319"/>
      <c r="P1" s="319"/>
      <c r="Q1" s="319"/>
      <c r="R1" s="319"/>
      <c r="S1" s="319"/>
      <c r="U1" s="319"/>
      <c r="V1" s="319"/>
      <c r="W1" s="319"/>
      <c r="X1" s="319"/>
      <c r="Y1" s="319"/>
      <c r="AA1" s="319"/>
      <c r="AB1" s="319"/>
      <c r="AC1" s="319"/>
      <c r="AD1" s="319"/>
      <c r="AE1" s="319"/>
      <c r="AG1" s="319"/>
      <c r="AH1" s="319"/>
      <c r="AI1" s="319"/>
      <c r="AJ1" s="319"/>
      <c r="AK1" s="319"/>
      <c r="AM1" s="319"/>
      <c r="AN1" s="319"/>
      <c r="AO1" s="319"/>
      <c r="AP1" s="319"/>
      <c r="AQ1" s="319"/>
      <c r="AS1" s="319"/>
      <c r="AT1" s="319"/>
      <c r="AU1" s="319"/>
      <c r="AV1" s="319"/>
      <c r="AW1" s="319"/>
      <c r="AY1" s="319"/>
      <c r="AZ1" s="319"/>
      <c r="BA1" s="319"/>
      <c r="BB1" s="319"/>
      <c r="BC1" s="319"/>
      <c r="BE1" s="319"/>
      <c r="BF1" s="319"/>
      <c r="BG1" s="319"/>
      <c r="BH1" s="319"/>
      <c r="BI1" s="319"/>
      <c r="BK1" s="319"/>
      <c r="BL1" s="319"/>
      <c r="BM1" s="319"/>
      <c r="BN1" s="319"/>
      <c r="BO1" s="319"/>
      <c r="BQ1" s="319"/>
      <c r="BR1" s="319"/>
      <c r="BS1" s="319"/>
      <c r="BT1" s="319"/>
      <c r="BU1" s="319"/>
      <c r="BW1" s="319"/>
      <c r="BX1" s="319"/>
      <c r="BY1" s="319"/>
      <c r="BZ1" s="319"/>
      <c r="CA1" s="319"/>
      <c r="CC1" s="319"/>
      <c r="CD1" s="319"/>
      <c r="CE1" s="319"/>
      <c r="CF1" s="319"/>
      <c r="CG1" s="319"/>
      <c r="CI1" s="319"/>
      <c r="CJ1" s="319"/>
      <c r="CK1" s="319"/>
      <c r="CL1" s="319"/>
      <c r="CM1" s="319"/>
    </row>
    <row r="2" spans="1:127" x14ac:dyDescent="0.2">
      <c r="AQ2" s="74"/>
      <c r="AW2" s="74"/>
      <c r="BC2" s="74"/>
      <c r="BI2" s="74"/>
      <c r="BO2" s="74"/>
      <c r="BU2" s="74"/>
      <c r="BW2" s="312"/>
      <c r="BX2" s="312"/>
      <c r="BY2" s="312"/>
      <c r="BZ2" s="312"/>
      <c r="CA2" s="312"/>
      <c r="CC2" s="312"/>
      <c r="CD2" s="312"/>
      <c r="CE2" s="312"/>
      <c r="CF2" s="312"/>
      <c r="CG2" s="312"/>
      <c r="CI2" s="312"/>
      <c r="CJ2" s="312"/>
      <c r="CK2" s="312"/>
      <c r="CL2" s="312"/>
      <c r="CM2" s="312"/>
      <c r="DA2" s="312" t="s">
        <v>204</v>
      </c>
      <c r="DB2" s="312"/>
      <c r="DC2" s="312"/>
      <c r="DD2" s="312"/>
      <c r="DE2" s="312"/>
      <c r="DG2" s="312" t="s">
        <v>209</v>
      </c>
      <c r="DH2" s="312"/>
      <c r="DI2" s="312"/>
      <c r="DJ2" s="312"/>
      <c r="DK2" s="312"/>
      <c r="DM2" s="312" t="s">
        <v>214</v>
      </c>
      <c r="DN2" s="312"/>
      <c r="DO2" s="312"/>
      <c r="DP2" s="312"/>
      <c r="DQ2" s="312"/>
      <c r="DS2" s="312"/>
      <c r="DT2" s="312"/>
      <c r="DU2" s="312"/>
      <c r="DV2" s="312"/>
      <c r="DW2" s="312"/>
    </row>
    <row r="3" spans="1:127" x14ac:dyDescent="0.2">
      <c r="A3" s="74" t="s">
        <v>150</v>
      </c>
      <c r="C3" s="317" t="s">
        <v>109</v>
      </c>
      <c r="D3" s="318"/>
      <c r="E3" s="318"/>
      <c r="F3" s="318"/>
      <c r="G3" s="318"/>
      <c r="I3" s="317" t="s">
        <v>110</v>
      </c>
      <c r="J3" s="318"/>
      <c r="K3" s="318"/>
      <c r="L3" s="318"/>
      <c r="M3" s="318"/>
      <c r="O3" s="317" t="s">
        <v>111</v>
      </c>
      <c r="P3" s="318"/>
      <c r="Q3" s="318"/>
      <c r="R3" s="318"/>
      <c r="S3" s="318"/>
      <c r="U3" s="317" t="s">
        <v>112</v>
      </c>
      <c r="V3" s="318"/>
      <c r="W3" s="318"/>
      <c r="X3" s="318"/>
      <c r="Y3" s="318"/>
      <c r="AA3" s="317" t="s">
        <v>113</v>
      </c>
      <c r="AB3" s="318"/>
      <c r="AC3" s="318"/>
      <c r="AD3" s="318"/>
      <c r="AE3" s="318"/>
      <c r="AG3" s="317" t="s">
        <v>114</v>
      </c>
      <c r="AH3" s="318"/>
      <c r="AI3" s="318"/>
      <c r="AJ3" s="318"/>
      <c r="AK3" s="318"/>
      <c r="AM3" s="317" t="s">
        <v>119</v>
      </c>
      <c r="AN3" s="318"/>
      <c r="AO3" s="318"/>
      <c r="AP3" s="318"/>
      <c r="AQ3" s="318"/>
      <c r="AS3" s="317" t="s">
        <v>118</v>
      </c>
      <c r="AT3" s="318"/>
      <c r="AU3" s="318"/>
      <c r="AV3" s="318"/>
      <c r="AW3" s="318"/>
      <c r="AY3" s="317" t="s">
        <v>117</v>
      </c>
      <c r="AZ3" s="318"/>
      <c r="BA3" s="318"/>
      <c r="BB3" s="318"/>
      <c r="BC3" s="318"/>
      <c r="BE3" s="317" t="s">
        <v>116</v>
      </c>
      <c r="BF3" s="318"/>
      <c r="BG3" s="318"/>
      <c r="BH3" s="318"/>
      <c r="BI3" s="318"/>
      <c r="BK3" s="317" t="s">
        <v>115</v>
      </c>
      <c r="BL3" s="318"/>
      <c r="BM3" s="318"/>
      <c r="BN3" s="318"/>
      <c r="BO3" s="318"/>
      <c r="BQ3" s="317" t="s">
        <v>129</v>
      </c>
      <c r="BR3" s="318"/>
      <c r="BS3" s="318"/>
      <c r="BT3" s="318"/>
      <c r="BU3" s="318"/>
      <c r="BW3" s="317" t="s">
        <v>157</v>
      </c>
      <c r="BX3" s="318"/>
      <c r="BY3" s="318"/>
      <c r="BZ3" s="318"/>
      <c r="CA3" s="318"/>
      <c r="CC3" s="317" t="s">
        <v>171</v>
      </c>
      <c r="CD3" s="318"/>
      <c r="CE3" s="318"/>
      <c r="CF3" s="318"/>
      <c r="CG3" s="318"/>
      <c r="CI3" s="317" t="s">
        <v>175</v>
      </c>
      <c r="CJ3" s="318"/>
      <c r="CK3" s="318"/>
      <c r="CL3" s="318"/>
      <c r="CM3" s="318"/>
      <c r="CO3" s="317" t="s">
        <v>177</v>
      </c>
      <c r="CP3" s="318"/>
      <c r="CQ3" s="318"/>
      <c r="CR3" s="318"/>
      <c r="CS3" s="318"/>
      <c r="CU3" s="317" t="s">
        <v>198</v>
      </c>
      <c r="CV3" s="318"/>
      <c r="CW3" s="318"/>
      <c r="CX3" s="318"/>
      <c r="CY3" s="318"/>
      <c r="DA3" s="317" t="s">
        <v>203</v>
      </c>
      <c r="DB3" s="318"/>
      <c r="DC3" s="318"/>
      <c r="DD3" s="318"/>
      <c r="DE3" s="318"/>
      <c r="DG3" s="317" t="s">
        <v>208</v>
      </c>
      <c r="DH3" s="318"/>
      <c r="DI3" s="318"/>
      <c r="DJ3" s="318"/>
      <c r="DK3" s="318"/>
      <c r="DM3" s="317" t="s">
        <v>213</v>
      </c>
      <c r="DN3" s="318"/>
      <c r="DO3" s="318"/>
      <c r="DP3" s="318"/>
      <c r="DQ3" s="318"/>
      <c r="DS3" s="315">
        <v>2025</v>
      </c>
      <c r="DT3" s="316"/>
      <c r="DU3" s="316"/>
      <c r="DV3" s="316"/>
      <c r="DW3" s="316"/>
    </row>
    <row r="4" spans="1:127" s="138" customFormat="1" x14ac:dyDescent="0.2">
      <c r="A4" s="137" t="s">
        <v>168</v>
      </c>
      <c r="C4" s="139" t="s">
        <v>9</v>
      </c>
      <c r="D4" s="139" t="s">
        <v>10</v>
      </c>
      <c r="E4" s="139" t="s">
        <v>11</v>
      </c>
      <c r="F4" s="139" t="s">
        <v>12</v>
      </c>
      <c r="G4" s="139" t="s">
        <v>13</v>
      </c>
      <c r="I4" s="139" t="s">
        <v>9</v>
      </c>
      <c r="J4" s="139" t="s">
        <v>10</v>
      </c>
      <c r="K4" s="139" t="s">
        <v>11</v>
      </c>
      <c r="L4" s="139" t="s">
        <v>12</v>
      </c>
      <c r="M4" s="139" t="s">
        <v>13</v>
      </c>
      <c r="O4" s="139" t="s">
        <v>9</v>
      </c>
      <c r="P4" s="139" t="s">
        <v>10</v>
      </c>
      <c r="Q4" s="139" t="s">
        <v>11</v>
      </c>
      <c r="R4" s="139" t="s">
        <v>12</v>
      </c>
      <c r="S4" s="139" t="s">
        <v>13</v>
      </c>
      <c r="U4" s="139" t="s">
        <v>9</v>
      </c>
      <c r="V4" s="139" t="s">
        <v>10</v>
      </c>
      <c r="W4" s="139" t="s">
        <v>11</v>
      </c>
      <c r="X4" s="139" t="s">
        <v>12</v>
      </c>
      <c r="Y4" s="139" t="s">
        <v>13</v>
      </c>
      <c r="AA4" s="139" t="s">
        <v>9</v>
      </c>
      <c r="AB4" s="139" t="s">
        <v>10</v>
      </c>
      <c r="AC4" s="139" t="s">
        <v>11</v>
      </c>
      <c r="AD4" s="139" t="s">
        <v>12</v>
      </c>
      <c r="AE4" s="139" t="s">
        <v>13</v>
      </c>
      <c r="AG4" s="139" t="s">
        <v>9</v>
      </c>
      <c r="AH4" s="139" t="s">
        <v>10</v>
      </c>
      <c r="AI4" s="139" t="s">
        <v>11</v>
      </c>
      <c r="AJ4" s="139" t="s">
        <v>12</v>
      </c>
      <c r="AK4" s="139" t="s">
        <v>13</v>
      </c>
      <c r="AM4" s="139" t="s">
        <v>9</v>
      </c>
      <c r="AN4" s="139" t="s">
        <v>10</v>
      </c>
      <c r="AO4" s="139" t="s">
        <v>11</v>
      </c>
      <c r="AP4" s="139" t="s">
        <v>12</v>
      </c>
      <c r="AQ4" s="139" t="s">
        <v>13</v>
      </c>
      <c r="AS4" s="139" t="s">
        <v>9</v>
      </c>
      <c r="AT4" s="139" t="s">
        <v>10</v>
      </c>
      <c r="AU4" s="139" t="s">
        <v>11</v>
      </c>
      <c r="AV4" s="139" t="s">
        <v>12</v>
      </c>
      <c r="AW4" s="139" t="s">
        <v>13</v>
      </c>
      <c r="AY4" s="139" t="s">
        <v>9</v>
      </c>
      <c r="AZ4" s="139" t="s">
        <v>10</v>
      </c>
      <c r="BA4" s="139" t="s">
        <v>11</v>
      </c>
      <c r="BB4" s="139" t="s">
        <v>12</v>
      </c>
      <c r="BC4" s="139" t="s">
        <v>13</v>
      </c>
      <c r="BE4" s="139" t="s">
        <v>9</v>
      </c>
      <c r="BF4" s="139" t="s">
        <v>10</v>
      </c>
      <c r="BG4" s="139" t="s">
        <v>11</v>
      </c>
      <c r="BH4" s="139" t="s">
        <v>12</v>
      </c>
      <c r="BI4" s="139" t="s">
        <v>13</v>
      </c>
      <c r="BK4" s="140" t="s">
        <v>9</v>
      </c>
      <c r="BL4" s="140" t="s">
        <v>10</v>
      </c>
      <c r="BM4" s="140" t="s">
        <v>11</v>
      </c>
      <c r="BN4" s="140" t="s">
        <v>12</v>
      </c>
      <c r="BO4" s="140" t="s">
        <v>13</v>
      </c>
      <c r="BP4" s="137"/>
      <c r="BQ4" s="140" t="s">
        <v>9</v>
      </c>
      <c r="BR4" s="140" t="s">
        <v>10</v>
      </c>
      <c r="BS4" s="140" t="s">
        <v>11</v>
      </c>
      <c r="BT4" s="140" t="s">
        <v>12</v>
      </c>
      <c r="BU4" s="140" t="s">
        <v>13</v>
      </c>
      <c r="BV4" s="137"/>
      <c r="BW4" s="140" t="s">
        <v>9</v>
      </c>
      <c r="BX4" s="140" t="s">
        <v>10</v>
      </c>
      <c r="BY4" s="140" t="s">
        <v>11</v>
      </c>
      <c r="BZ4" s="140" t="s">
        <v>12</v>
      </c>
      <c r="CA4" s="140" t="s">
        <v>13</v>
      </c>
      <c r="CC4" s="140" t="s">
        <v>9</v>
      </c>
      <c r="CD4" s="140" t="s">
        <v>10</v>
      </c>
      <c r="CE4" s="140" t="s">
        <v>11</v>
      </c>
      <c r="CF4" s="140" t="s">
        <v>12</v>
      </c>
      <c r="CG4" s="140" t="s">
        <v>13</v>
      </c>
      <c r="CI4" s="140" t="s">
        <v>9</v>
      </c>
      <c r="CJ4" s="140" t="s">
        <v>10</v>
      </c>
      <c r="CK4" s="140" t="s">
        <v>11</v>
      </c>
      <c r="CL4" s="140" t="s">
        <v>12</v>
      </c>
      <c r="CM4" s="140" t="s">
        <v>13</v>
      </c>
      <c r="CO4" s="140" t="s">
        <v>9</v>
      </c>
      <c r="CP4" s="140" t="s">
        <v>10</v>
      </c>
      <c r="CQ4" s="140" t="s">
        <v>11</v>
      </c>
      <c r="CR4" s="140" t="s">
        <v>12</v>
      </c>
      <c r="CS4" s="140" t="s">
        <v>13</v>
      </c>
      <c r="CU4" s="140" t="s">
        <v>9</v>
      </c>
      <c r="CV4" s="140" t="s">
        <v>10</v>
      </c>
      <c r="CW4" s="140" t="s">
        <v>11</v>
      </c>
      <c r="CX4" s="140" t="s">
        <v>12</v>
      </c>
      <c r="CY4" s="140" t="s">
        <v>13</v>
      </c>
      <c r="DA4" s="140" t="s">
        <v>9</v>
      </c>
      <c r="DB4" s="140" t="s">
        <v>10</v>
      </c>
      <c r="DC4" s="140" t="s">
        <v>11</v>
      </c>
      <c r="DD4" s="140" t="s">
        <v>12</v>
      </c>
      <c r="DE4" s="140" t="s">
        <v>13</v>
      </c>
      <c r="DG4" s="140" t="s">
        <v>9</v>
      </c>
      <c r="DH4" s="140" t="s">
        <v>10</v>
      </c>
      <c r="DI4" s="140" t="s">
        <v>11</v>
      </c>
      <c r="DJ4" s="140" t="s">
        <v>12</v>
      </c>
      <c r="DK4" s="140" t="s">
        <v>13</v>
      </c>
      <c r="DM4" s="140" t="s">
        <v>9</v>
      </c>
      <c r="DN4" s="140" t="s">
        <v>10</v>
      </c>
      <c r="DO4" s="140" t="s">
        <v>11</v>
      </c>
      <c r="DP4" s="140" t="s">
        <v>12</v>
      </c>
      <c r="DQ4" s="140" t="s">
        <v>13</v>
      </c>
      <c r="DS4" s="140" t="s">
        <v>9</v>
      </c>
      <c r="DT4" s="140" t="s">
        <v>10</v>
      </c>
      <c r="DU4" s="140" t="s">
        <v>11</v>
      </c>
      <c r="DV4" s="140" t="s">
        <v>12</v>
      </c>
      <c r="DW4" s="140" t="s">
        <v>13</v>
      </c>
    </row>
    <row r="5" spans="1:127" x14ac:dyDescent="0.2">
      <c r="G5" s="31"/>
      <c r="M5" s="31"/>
      <c r="S5" s="31"/>
      <c r="Y5" s="31"/>
      <c r="AE5" s="31"/>
      <c r="AK5" s="31"/>
      <c r="AQ5" s="31"/>
      <c r="AW5" s="31"/>
      <c r="BC5" s="31"/>
      <c r="BI5" s="31"/>
      <c r="BO5" s="31"/>
      <c r="BU5" s="31"/>
      <c r="CA5" s="31"/>
      <c r="CG5" s="31"/>
      <c r="CM5" s="31"/>
      <c r="CS5" s="31"/>
      <c r="CY5" s="31"/>
      <c r="DE5" s="31"/>
      <c r="DK5" s="31"/>
      <c r="DQ5" s="31"/>
      <c r="DW5" s="31"/>
    </row>
    <row r="6" spans="1:127" x14ac:dyDescent="0.2">
      <c r="A6" s="11" t="s">
        <v>1</v>
      </c>
      <c r="C6" s="11">
        <v>16.778523489932887</v>
      </c>
      <c r="D6" s="11">
        <v>23.355704697986578</v>
      </c>
      <c r="E6" s="11">
        <v>25.503355704697984</v>
      </c>
      <c r="F6" s="11">
        <v>30.067114093959731</v>
      </c>
      <c r="G6" s="31">
        <f>SUM(C6:F6)</f>
        <v>95.704697986577173</v>
      </c>
      <c r="I6" s="11">
        <v>23.624161073825501</v>
      </c>
      <c r="J6" s="11">
        <v>50.067114093959731</v>
      </c>
      <c r="K6" s="11">
        <v>34.228187919463089</v>
      </c>
      <c r="L6" s="11">
        <v>29.261744966442951</v>
      </c>
      <c r="M6" s="31">
        <f>SUM(I6:L6)</f>
        <v>137.18120805369128</v>
      </c>
      <c r="O6" s="11">
        <v>34.36241610738255</v>
      </c>
      <c r="P6" s="11">
        <v>53.288590604026844</v>
      </c>
      <c r="Q6" s="11">
        <v>44.697986577181204</v>
      </c>
      <c r="R6" s="11">
        <v>60</v>
      </c>
      <c r="S6" s="31">
        <f>SUM(O6:R6)</f>
        <v>192.34899328859061</v>
      </c>
      <c r="U6" s="11">
        <v>40.939597315436238</v>
      </c>
      <c r="V6" s="11">
        <v>61.879194630872483</v>
      </c>
      <c r="W6" s="11">
        <v>44.161073825503358</v>
      </c>
      <c r="X6" s="11">
        <v>16.51006711409396</v>
      </c>
      <c r="Y6" s="31">
        <f>SUM(U6:X6)</f>
        <v>163.48993288590606</v>
      </c>
      <c r="AA6" s="11">
        <v>17.04697986577181</v>
      </c>
      <c r="AB6" s="11">
        <v>31.812080536912752</v>
      </c>
      <c r="AC6" s="11">
        <v>30.201342281879192</v>
      </c>
      <c r="AD6" s="11">
        <v>26.040268456375838</v>
      </c>
      <c r="AE6" s="31">
        <f>SUM(AA6:AD6)</f>
        <v>105.1006711409396</v>
      </c>
      <c r="AG6" s="11">
        <v>28.590604026845636</v>
      </c>
      <c r="AH6" s="11">
        <v>34.630872483221474</v>
      </c>
      <c r="AI6" s="11">
        <v>33.557046979865774</v>
      </c>
      <c r="AJ6" s="11">
        <v>23.892617449664428</v>
      </c>
      <c r="AK6" s="31">
        <f>SUM(AG6:AJ6)</f>
        <v>120.67114093959731</v>
      </c>
      <c r="AM6" s="11">
        <f>+' Financial Highlights'!AM7</f>
        <v>28.993288590604028</v>
      </c>
      <c r="AN6" s="11">
        <f>+' Financial Highlights'!AN7</f>
        <v>28.187919463087248</v>
      </c>
      <c r="AO6" s="11">
        <f>+' Financial Highlights'!AO7</f>
        <v>41.879194630872483</v>
      </c>
      <c r="AP6" s="11">
        <f>+' Financial Highlights'!AP7</f>
        <v>35.570469798657719</v>
      </c>
      <c r="AQ6" s="31">
        <f>SUM(AM6:AP6)</f>
        <v>134.63087248322148</v>
      </c>
      <c r="AS6" s="11">
        <v>30.604026845637584</v>
      </c>
      <c r="AT6" s="11">
        <v>30.738255033557046</v>
      </c>
      <c r="AU6" s="11">
        <v>32.080536912751676</v>
      </c>
      <c r="AV6" s="11">
        <v>42.013422818791945</v>
      </c>
      <c r="AW6" s="31">
        <f>SUM(AS6:AV6)</f>
        <v>135.43624161073825</v>
      </c>
      <c r="AY6" s="11">
        <v>29.127516778523489</v>
      </c>
      <c r="AZ6" s="11">
        <v>37.449664429530202</v>
      </c>
      <c r="BA6" s="11">
        <v>32.348993288590606</v>
      </c>
      <c r="BB6" s="11">
        <v>49.127516778523486</v>
      </c>
      <c r="BC6" s="31">
        <f>SUM(AY6:BB6)</f>
        <v>148.05369127516778</v>
      </c>
      <c r="BE6" s="11">
        <v>39.73154362416107</v>
      </c>
      <c r="BF6" s="11">
        <v>29.798657718120804</v>
      </c>
      <c r="BG6" s="11">
        <v>30.335570469798657</v>
      </c>
      <c r="BH6" s="11">
        <f>(1061-744)/7.45</f>
        <v>42.550335570469798</v>
      </c>
      <c r="BI6" s="31">
        <f>SUM(BE6:BH6)</f>
        <v>142.41610738255031</v>
      </c>
      <c r="BK6" s="11">
        <v>32.885906040268459</v>
      </c>
      <c r="BL6" s="11">
        <v>54.630872483221474</v>
      </c>
      <c r="BM6" s="11">
        <v>32.214765100671137</v>
      </c>
      <c r="BN6" s="11">
        <f>+' Financial Highlights'!BN7</f>
        <v>32.299999999999997</v>
      </c>
      <c r="BO6" s="31">
        <f>SUM(BK6:BN6)</f>
        <v>152.03154362416109</v>
      </c>
      <c r="BQ6" s="11">
        <f>+' Financial Highlights'!BQ7</f>
        <v>35.900999999999996</v>
      </c>
      <c r="BR6" s="11">
        <f>+' Financial Highlights'!BR7</f>
        <v>50.8</v>
      </c>
      <c r="BS6" s="11">
        <f>+' Financial Highlights'!BS7</f>
        <v>6.2</v>
      </c>
      <c r="BT6" s="11">
        <v>31.8</v>
      </c>
      <c r="BU6" s="31">
        <f>SUM(BQ6:BT6)</f>
        <v>124.70099999999999</v>
      </c>
      <c r="BW6" s="11">
        <f>+' Financial Highlights'!BW7</f>
        <v>32</v>
      </c>
      <c r="BX6" s="11">
        <f>+' Financial Highlights'!BX7</f>
        <v>71.7</v>
      </c>
      <c r="BY6" s="11">
        <f>+' Financial Highlights'!BY7</f>
        <v>54.6</v>
      </c>
      <c r="BZ6" s="11">
        <f>180.1-158.3</f>
        <v>21.799999999999983</v>
      </c>
      <c r="CA6" s="31">
        <f>SUM(BW6:BZ6)</f>
        <v>180.1</v>
      </c>
      <c r="CC6" s="11">
        <v>15.8</v>
      </c>
      <c r="CD6" s="11">
        <v>25.6</v>
      </c>
      <c r="CE6" s="11">
        <v>17.8</v>
      </c>
      <c r="CF6" s="11">
        <v>-9.4</v>
      </c>
      <c r="CG6" s="31">
        <f>SUM(CC6:CF6)</f>
        <v>49.800000000000004</v>
      </c>
      <c r="CI6" s="11">
        <v>0.2</v>
      </c>
      <c r="CJ6" s="11">
        <v>9.4</v>
      </c>
      <c r="CK6" s="11">
        <v>5.9</v>
      </c>
      <c r="CL6" s="11">
        <v>2.2000000000000002</v>
      </c>
      <c r="CM6" s="31">
        <f>SUM(CI6:CL6)</f>
        <v>17.7</v>
      </c>
      <c r="CO6" s="11">
        <v>8</v>
      </c>
      <c r="CP6" s="11">
        <v>6.5</v>
      </c>
      <c r="CQ6" s="11">
        <v>21.4</v>
      </c>
      <c r="CR6" s="11">
        <v>13.5</v>
      </c>
      <c r="CS6" s="31">
        <f>SUM(CO6:CR6)</f>
        <v>49.4</v>
      </c>
      <c r="CU6" s="11">
        <v>30.8</v>
      </c>
      <c r="CV6" s="11">
        <v>42.4</v>
      </c>
      <c r="CW6" s="11">
        <v>33.5</v>
      </c>
      <c r="CX6" s="11">
        <v>19.2</v>
      </c>
      <c r="CY6" s="31">
        <f>SUM(CU6:CX6)</f>
        <v>125.9</v>
      </c>
      <c r="DA6" s="11">
        <v>38.799999999999997</v>
      </c>
      <c r="DB6" s="11">
        <v>40.9</v>
      </c>
      <c r="DC6" s="11">
        <v>35.200000000000003</v>
      </c>
      <c r="DD6" s="11">
        <f>+'Segment Data 2017-2025'!AJ38</f>
        <v>39.700000000000003</v>
      </c>
      <c r="DE6" s="31">
        <f>SUM(DA6:DD6)</f>
        <v>154.6</v>
      </c>
      <c r="DG6" s="11">
        <f>+'Segment Data 2017-2025'!AM38</f>
        <v>56.9</v>
      </c>
      <c r="DH6" s="11">
        <f>+'Segment Data 2017-2025'!AN38</f>
        <v>58</v>
      </c>
      <c r="DI6" s="11">
        <f>+'Segment Data 2017-2025'!AO38</f>
        <v>76.5</v>
      </c>
      <c r="DJ6" s="11">
        <f>+DK6-SUM(DG6:DI6)</f>
        <v>63.200000000000017</v>
      </c>
      <c r="DK6" s="31">
        <f>+'Segment Data 2017-2025'!AQ38</f>
        <v>254.60000000000002</v>
      </c>
      <c r="DM6" s="13">
        <f>+'Segment Data 2017-2025'!AS38</f>
        <v>75</v>
      </c>
      <c r="DN6" s="13">
        <f>+'Segment Data 2017-2025'!AT38</f>
        <v>85</v>
      </c>
      <c r="DO6" s="13">
        <f>+'Segment Data 2017-2025'!AU38</f>
        <v>93</v>
      </c>
      <c r="DP6" s="13">
        <f>+'Segment Data 2017-2025'!AV38</f>
        <v>90</v>
      </c>
      <c r="DQ6" s="261">
        <f>+DM6+DN6+DO6+DP6</f>
        <v>343</v>
      </c>
      <c r="DS6" s="13">
        <f>+'Segment Data 2017-2025'!AY38</f>
        <v>81</v>
      </c>
      <c r="DT6" s="13">
        <f>+'Segment Data 2017-2025'!AZ38</f>
        <v>105</v>
      </c>
      <c r="DU6" s="13">
        <f>+'Segment Data 2017-2025'!BA38</f>
        <v>119</v>
      </c>
      <c r="DV6" s="13"/>
      <c r="DW6" s="261">
        <f>+DS6+DT6+DU6+DV6</f>
        <v>305</v>
      </c>
    </row>
    <row r="7" spans="1:127" x14ac:dyDescent="0.2">
      <c r="A7" s="11" t="s">
        <v>66</v>
      </c>
      <c r="C7" s="11">
        <v>-2.0134228187919461</v>
      </c>
      <c r="D7" s="11">
        <v>0.13422818791946309</v>
      </c>
      <c r="E7" s="11">
        <v>-0.13422818791946309</v>
      </c>
      <c r="F7" s="11">
        <v>-0.93959731543624159</v>
      </c>
      <c r="G7" s="31">
        <f>SUM(C7:F7)</f>
        <v>-2.9530201342281877</v>
      </c>
      <c r="I7" s="11">
        <v>-1.8791946308724832</v>
      </c>
      <c r="J7" s="11">
        <v>-1.6107382550335569</v>
      </c>
      <c r="K7" s="11">
        <v>-1.2080536912751678</v>
      </c>
      <c r="L7" s="11">
        <v>-1.8791946308724832</v>
      </c>
      <c r="M7" s="31">
        <f>SUM(I7:L7)</f>
        <v>-6.5771812080536911</v>
      </c>
      <c r="O7" s="11">
        <v>-4.1610738255033555</v>
      </c>
      <c r="P7" s="11">
        <v>-3.087248322147651</v>
      </c>
      <c r="Q7" s="11">
        <v>-4.4295302013422821</v>
      </c>
      <c r="R7" s="11">
        <v>-7.7852348993288585</v>
      </c>
      <c r="S7" s="31">
        <f>SUM(O7:R7)</f>
        <v>-19.463087248322147</v>
      </c>
      <c r="U7" s="11">
        <v>-5.6375838926174495</v>
      </c>
      <c r="V7" s="11">
        <v>-9.1275167785234892</v>
      </c>
      <c r="W7" s="11">
        <v>-7.2483221476510069</v>
      </c>
      <c r="X7" s="11">
        <v>-8.3221476510067109</v>
      </c>
      <c r="Y7" s="31">
        <f>SUM(U7:X7)</f>
        <v>-30.335570469798654</v>
      </c>
      <c r="AA7" s="11">
        <v>-4.6577181208053693</v>
      </c>
      <c r="AB7" s="11">
        <v>-3.4899328859060401</v>
      </c>
      <c r="AC7" s="11">
        <v>-3.2214765100671139</v>
      </c>
      <c r="AD7" s="11">
        <v>-5.3691275167785237</v>
      </c>
      <c r="AE7" s="31">
        <f>SUM(AA7:AD7)</f>
        <v>-16.738255033557046</v>
      </c>
      <c r="AG7" s="11">
        <v>-3.6241610738255035</v>
      </c>
      <c r="AH7" s="11">
        <v>-2.9530201342281877</v>
      </c>
      <c r="AI7" s="11">
        <v>-5.7718120805369129</v>
      </c>
      <c r="AJ7" s="11">
        <v>-5.7718120805369129</v>
      </c>
      <c r="AK7" s="31">
        <f>SUM(AG7:AJ7)</f>
        <v>-18.120805369127517</v>
      </c>
      <c r="AM7" s="11">
        <f>+' Financial Highlights'!AM15</f>
        <v>-5.7718120805369129</v>
      </c>
      <c r="AN7" s="11">
        <f>+' Financial Highlights'!AN15</f>
        <v>-8.1879194630872476</v>
      </c>
      <c r="AO7" s="11">
        <f>+' Financial Highlights'!AO15</f>
        <v>-14.228187919463087</v>
      </c>
      <c r="AP7" s="11">
        <f>+' Financial Highlights'!AP15</f>
        <v>-9.3959731543624159</v>
      </c>
      <c r="AQ7" s="31">
        <f>SUM(AM7:AP7)</f>
        <v>-37.583892617449663</v>
      </c>
      <c r="AS7" s="11">
        <v>-7.9194630872483218</v>
      </c>
      <c r="AT7" s="11">
        <v>-6.9798657718120802</v>
      </c>
      <c r="AU7" s="11">
        <v>-5.9060402684563753</v>
      </c>
      <c r="AV7" s="11">
        <v>-5.5033557046979862</v>
      </c>
      <c r="AW7" s="31">
        <f>SUM(AS7:AV7)</f>
        <v>-26.308724832214764</v>
      </c>
      <c r="AY7" s="11">
        <v>-6.4429530201342278</v>
      </c>
      <c r="AZ7" s="11">
        <v>-5.3691275167785237</v>
      </c>
      <c r="BA7" s="11">
        <v>-4.8322147651006713</v>
      </c>
      <c r="BB7" s="11">
        <v>-4.8322147651006713</v>
      </c>
      <c r="BC7" s="31">
        <f>SUM(AY7:BB7)</f>
        <v>-21.476510067114098</v>
      </c>
      <c r="BE7" s="11">
        <v>-3.3557046979865772</v>
      </c>
      <c r="BF7" s="11">
        <v>-3.6241610738255035</v>
      </c>
      <c r="BG7" s="11">
        <v>-2.8187919463087248</v>
      </c>
      <c r="BH7" s="11">
        <v>-3.4899328859060401</v>
      </c>
      <c r="BI7" s="31">
        <f>SUM(BE7:BH7)</f>
        <v>-13.288590604026846</v>
      </c>
      <c r="BK7" s="11">
        <v>2.1476510067114094</v>
      </c>
      <c r="BL7" s="11">
        <v>-2.8187919463087248</v>
      </c>
      <c r="BM7" s="11">
        <v>-3.4899328859060401</v>
      </c>
      <c r="BN7" s="11">
        <v>-1.9</v>
      </c>
      <c r="BO7" s="31">
        <f>SUM(BK7:BN7)</f>
        <v>-6.0610738255033549</v>
      </c>
      <c r="BQ7" s="11">
        <f>+' Financial Highlights'!BQ15</f>
        <v>-1.2</v>
      </c>
      <c r="BR7" s="11">
        <f>+' Financial Highlights'!BR15</f>
        <v>-2.9</v>
      </c>
      <c r="BS7" s="11">
        <f>+' Financial Highlights'!BS15</f>
        <v>-2.1</v>
      </c>
      <c r="BT7" s="11">
        <f>0.9+0.9</f>
        <v>1.8</v>
      </c>
      <c r="BU7" s="31">
        <f>SUM(BQ7:BT7)</f>
        <v>-4.3999999999999995</v>
      </c>
      <c r="BW7" s="11">
        <f>+' Financial Highlights'!BW15</f>
        <v>-4.4000000000000004</v>
      </c>
      <c r="BX7" s="11">
        <f>+' Financial Highlights'!BX15</f>
        <v>-7.9</v>
      </c>
      <c r="BY7" s="11">
        <v>-5.3</v>
      </c>
      <c r="BZ7" s="11">
        <f>17.6+32.7-57.4</f>
        <v>-7.0999999999999943</v>
      </c>
      <c r="CA7" s="31">
        <f>SUM(BW7:BZ7)</f>
        <v>-24.699999999999996</v>
      </c>
      <c r="CC7" s="11">
        <v>-2.2999999999999998</v>
      </c>
      <c r="CD7" s="11">
        <v>-1.3</v>
      </c>
      <c r="CE7" s="11">
        <v>-2.8</v>
      </c>
      <c r="CF7" s="11">
        <v>-1.9</v>
      </c>
      <c r="CG7" s="31">
        <f>SUM(CC7:CF7)</f>
        <v>-8.2999999999999989</v>
      </c>
      <c r="CI7" s="11">
        <v>-2</v>
      </c>
      <c r="CJ7" s="11">
        <v>-1.8</v>
      </c>
      <c r="CK7" s="11">
        <v>-2.4</v>
      </c>
      <c r="CL7" s="11">
        <v>-6</v>
      </c>
      <c r="CM7" s="31">
        <f>SUM(CI7:CL7)</f>
        <v>-12.2</v>
      </c>
      <c r="CO7" s="11">
        <v>-7.1</v>
      </c>
      <c r="CP7" s="11">
        <v>-0.2</v>
      </c>
      <c r="CQ7" s="11">
        <v>-6.9</v>
      </c>
      <c r="CR7" s="11">
        <v>-2.8</v>
      </c>
      <c r="CS7" s="31">
        <f>SUM(CO7:CR7)</f>
        <v>-17</v>
      </c>
      <c r="CU7" s="11">
        <v>-3.5</v>
      </c>
      <c r="CV7" s="11">
        <v>-3.5</v>
      </c>
      <c r="CW7" s="11">
        <v>-4.4000000000000004</v>
      </c>
      <c r="CX7" s="11">
        <v>-0.8</v>
      </c>
      <c r="CY7" s="31">
        <f>SUM(CU7:CX7)</f>
        <v>-12.200000000000001</v>
      </c>
      <c r="DA7" s="11">
        <v>-5.2</v>
      </c>
      <c r="DB7" s="11">
        <v>-4.9000000000000004</v>
      </c>
      <c r="DC7" s="11">
        <v>5.0999999999999996</v>
      </c>
      <c r="DD7" s="11">
        <v>13.5</v>
      </c>
      <c r="DE7" s="31">
        <f>SUM(DA7:DD7)</f>
        <v>8.4999999999999982</v>
      </c>
      <c r="DG7" s="11">
        <v>4.3</v>
      </c>
      <c r="DH7" s="11">
        <v>11.3</v>
      </c>
      <c r="DI7" s="11">
        <v>-13.2</v>
      </c>
      <c r="DJ7" s="11">
        <f>+DK7-SUM(DG7:DI7)</f>
        <v>-18.400000000000002</v>
      </c>
      <c r="DK7" s="31">
        <f>89-105</f>
        <v>-16</v>
      </c>
      <c r="DM7" s="13">
        <v>8</v>
      </c>
      <c r="DN7" s="13">
        <v>16</v>
      </c>
      <c r="DO7" s="13">
        <v>4</v>
      </c>
      <c r="DP7" s="13">
        <v>-13</v>
      </c>
      <c r="DQ7" s="261">
        <f>45-30</f>
        <v>15</v>
      </c>
      <c r="DS7" s="13">
        <v>20</v>
      </c>
      <c r="DT7" s="13">
        <v>-8</v>
      </c>
      <c r="DU7" s="13">
        <v>4</v>
      </c>
      <c r="DV7" s="13"/>
      <c r="DW7" s="261">
        <f>+DS7+DT7+DU7+DV7</f>
        <v>16</v>
      </c>
    </row>
    <row r="8" spans="1:127" x14ac:dyDescent="0.2">
      <c r="A8" s="11" t="s">
        <v>67</v>
      </c>
      <c r="G8" s="31"/>
      <c r="M8" s="31"/>
      <c r="S8" s="31"/>
      <c r="Y8" s="31"/>
      <c r="AE8" s="31"/>
      <c r="AK8" s="31"/>
      <c r="AQ8" s="31"/>
      <c r="AW8" s="31"/>
      <c r="BC8" s="31"/>
      <c r="BI8" s="31"/>
      <c r="BO8" s="31"/>
      <c r="BU8" s="31"/>
      <c r="CA8" s="31"/>
      <c r="CG8" s="31"/>
      <c r="CM8" s="31"/>
      <c r="CS8" s="31"/>
      <c r="CY8" s="31"/>
      <c r="DE8" s="31"/>
      <c r="DK8" s="31"/>
      <c r="DM8" s="13"/>
      <c r="DN8" s="13"/>
      <c r="DO8" s="13"/>
      <c r="DP8" s="13"/>
      <c r="DQ8" s="261"/>
      <c r="DS8" s="13"/>
      <c r="DT8" s="13"/>
      <c r="DU8" s="13"/>
      <c r="DV8" s="13"/>
      <c r="DW8" s="261"/>
    </row>
    <row r="9" spans="1:127" ht="12.75" customHeight="1" x14ac:dyDescent="0.2">
      <c r="A9" s="11" t="s">
        <v>68</v>
      </c>
      <c r="G9" s="31"/>
      <c r="M9" s="31"/>
      <c r="S9" s="31"/>
      <c r="Y9" s="31"/>
      <c r="AE9" s="31"/>
      <c r="AK9" s="31"/>
      <c r="AQ9" s="31"/>
      <c r="AW9" s="31"/>
      <c r="BC9" s="31"/>
      <c r="BI9" s="31"/>
      <c r="BO9" s="31"/>
      <c r="BU9" s="31"/>
      <c r="CA9" s="31"/>
      <c r="CG9" s="31"/>
      <c r="CM9" s="31"/>
      <c r="CS9" s="31"/>
      <c r="CY9" s="31"/>
      <c r="DE9" s="31"/>
      <c r="DK9" s="31"/>
      <c r="DM9" s="13"/>
      <c r="DN9" s="13"/>
      <c r="DO9" s="13"/>
      <c r="DP9" s="13"/>
      <c r="DQ9" s="261"/>
      <c r="DS9" s="13"/>
      <c r="DT9" s="13"/>
      <c r="DU9" s="13"/>
      <c r="DV9" s="13"/>
      <c r="DW9" s="261"/>
    </row>
    <row r="10" spans="1:127" s="74" customFormat="1" ht="12.75" customHeight="1" x14ac:dyDescent="0.2">
      <c r="A10" s="11" t="s">
        <v>121</v>
      </c>
      <c r="B10" s="11"/>
      <c r="C10" s="11">
        <v>-40</v>
      </c>
      <c r="D10" s="11">
        <v>-20.805369127516776</v>
      </c>
      <c r="E10" s="11">
        <v>-17.986577181208052</v>
      </c>
      <c r="F10" s="11">
        <v>-8.4563758389261743</v>
      </c>
      <c r="G10" s="31">
        <f>SUM(C10:F10)</f>
        <v>-87.24832214765101</v>
      </c>
      <c r="H10" s="11"/>
      <c r="I10" s="11">
        <v>-50.738255033557046</v>
      </c>
      <c r="J10" s="11">
        <v>-37.852348993288587</v>
      </c>
      <c r="K10" s="11">
        <v>-8.0536912751677843</v>
      </c>
      <c r="L10" s="11">
        <v>1.6107382550335569</v>
      </c>
      <c r="M10" s="31">
        <f>SUM(I10:L10)</f>
        <v>-95.033557046979851</v>
      </c>
      <c r="N10" s="11"/>
      <c r="O10" s="11">
        <v>-23.48993288590604</v>
      </c>
      <c r="P10" s="11">
        <v>-31.409395973154361</v>
      </c>
      <c r="Q10" s="11">
        <v>16.778523489932887</v>
      </c>
      <c r="R10" s="11">
        <v>21.208053691275168</v>
      </c>
      <c r="S10" s="31">
        <f>SUM(O10:R10)</f>
        <v>-16.912751677852349</v>
      </c>
      <c r="T10" s="11"/>
      <c r="U10" s="11">
        <v>-68.859060402684563</v>
      </c>
      <c r="V10" s="11">
        <v>-55.838926174496642</v>
      </c>
      <c r="W10" s="11">
        <v>-12.885906040268456</v>
      </c>
      <c r="X10" s="11">
        <v>106.84563758389261</v>
      </c>
      <c r="Y10" s="31">
        <f>SUM(U10:X10)</f>
        <v>-30.738255033557053</v>
      </c>
      <c r="Z10" s="11"/>
      <c r="AA10" s="11">
        <v>10.067114093959731</v>
      </c>
      <c r="AB10" s="11">
        <v>-25.503355704697984</v>
      </c>
      <c r="AC10" s="11">
        <v>0.26845637583892618</v>
      </c>
      <c r="AD10" s="11">
        <v>4.9664429530201337</v>
      </c>
      <c r="AE10" s="31">
        <f>SUM(AA10:AD10)</f>
        <v>-10.201342281879192</v>
      </c>
      <c r="AG10" s="11">
        <v>-54.630872483221474</v>
      </c>
      <c r="AH10" s="11">
        <v>-66.979865771812072</v>
      </c>
      <c r="AI10" s="11">
        <f>(-18-3-336)/7.45</f>
        <v>-47.919463087248324</v>
      </c>
      <c r="AJ10" s="11">
        <v>16.778523489932887</v>
      </c>
      <c r="AK10" s="31">
        <f>SUM(AG10:AJ10)</f>
        <v>-152.75167785234896</v>
      </c>
      <c r="AM10" s="11">
        <v>-84.026845637583889</v>
      </c>
      <c r="AN10" s="11">
        <v>-10.335570469798657</v>
      </c>
      <c r="AO10" s="11">
        <v>25.906040268456376</v>
      </c>
      <c r="AP10" s="11">
        <v>46.308724832214764</v>
      </c>
      <c r="AQ10" s="31">
        <f>SUM(AM10:AP10)</f>
        <v>-22.147651006711399</v>
      </c>
      <c r="AS10" s="11">
        <v>-19.060402684563758</v>
      </c>
      <c r="AT10" s="11">
        <v>-14.899328859060402</v>
      </c>
      <c r="AU10" s="11">
        <v>-22.14765100671141</v>
      </c>
      <c r="AV10" s="11">
        <v>97.583892617449663</v>
      </c>
      <c r="AW10" s="31">
        <f>SUM(AS10:AV10)</f>
        <v>41.476510067114091</v>
      </c>
      <c r="AY10" s="11">
        <v>-92.617449664429529</v>
      </c>
      <c r="AZ10" s="11">
        <v>-33.422818791946305</v>
      </c>
      <c r="BA10" s="11">
        <v>20.268456375838927</v>
      </c>
      <c r="BB10" s="11">
        <v>52.348993288590606</v>
      </c>
      <c r="BC10" s="31">
        <f>SUM(AY10:BB10)</f>
        <v>-53.422818791946298</v>
      </c>
      <c r="BE10" s="11">
        <v>-9.6644295302013425</v>
      </c>
      <c r="BF10" s="11">
        <v>-11.543624161073826</v>
      </c>
      <c r="BG10" s="11">
        <v>-10.201342281879194</v>
      </c>
      <c r="BH10" s="11">
        <v>114.76510067114094</v>
      </c>
      <c r="BI10" s="31">
        <f>SUM(BE10:BH10)</f>
        <v>83.355704697986582</v>
      </c>
      <c r="BK10" s="11">
        <v>-22.281879194630871</v>
      </c>
      <c r="BL10" s="11">
        <f>(-65-281)/7.45</f>
        <v>-46.442953020134226</v>
      </c>
      <c r="BM10" s="11">
        <v>6.9798657718120802</v>
      </c>
      <c r="BN10" s="11">
        <v>89</v>
      </c>
      <c r="BO10" s="31">
        <f>SUM(BK10:BN10)</f>
        <v>27.255033557046978</v>
      </c>
      <c r="BQ10" s="11">
        <f>-38.3-5.5</f>
        <v>-43.8</v>
      </c>
      <c r="BR10" s="11">
        <v>-19.2</v>
      </c>
      <c r="BS10" s="11">
        <v>44</v>
      </c>
      <c r="BT10" s="11">
        <f>53.5-0.9</f>
        <v>52.6</v>
      </c>
      <c r="BU10" s="31">
        <f>SUM(BQ10:BT10)</f>
        <v>33.6</v>
      </c>
      <c r="BW10" s="11">
        <f>-10.9-55.1</f>
        <v>-66</v>
      </c>
      <c r="BX10" s="11">
        <f>-51.9+4.9</f>
        <v>-47</v>
      </c>
      <c r="BY10" s="11">
        <f>-13.1+10.5</f>
        <v>-2.5999999999999996</v>
      </c>
      <c r="BZ10" s="11">
        <f>115.6-11.8-18.1-32.1-5.6</f>
        <v>47.999999999999986</v>
      </c>
      <c r="CA10" s="31">
        <f>SUM(BW10:BZ10)</f>
        <v>-67.600000000000009</v>
      </c>
      <c r="CC10" s="11">
        <f>-10.4-134.9</f>
        <v>-145.30000000000001</v>
      </c>
      <c r="CD10" s="11">
        <f>-7.4+19.5</f>
        <v>12.1</v>
      </c>
      <c r="CE10" s="11">
        <f>-0.8-49</f>
        <v>-49.8</v>
      </c>
      <c r="CF10" s="11">
        <f>183-10.8-76+3.1</f>
        <v>99.299999999999983</v>
      </c>
      <c r="CG10" s="31">
        <f>SUM(CC10:CF10)</f>
        <v>-83.700000000000017</v>
      </c>
      <c r="CI10" s="11">
        <f>-7.1-47.9+2.2</f>
        <v>-52.8</v>
      </c>
      <c r="CJ10" s="11">
        <f>2.5+14.7-1.7</f>
        <v>15.5</v>
      </c>
      <c r="CK10" s="11">
        <f>-3.3+12.9-2.1</f>
        <v>7.5000000000000018</v>
      </c>
      <c r="CL10" s="11">
        <v>149.30000000000001</v>
      </c>
      <c r="CM10" s="31">
        <f>SUM(CI10:CL10)</f>
        <v>119.50000000000001</v>
      </c>
      <c r="CO10" s="11">
        <f>-6.3-115.5-0.6</f>
        <v>-122.39999999999999</v>
      </c>
      <c r="CP10" s="11">
        <f>9.1-26.5-0.7</f>
        <v>-18.099999999999998</v>
      </c>
      <c r="CQ10" s="11">
        <f>-8.7+151+1.9</f>
        <v>144.20000000000002</v>
      </c>
      <c r="CR10" s="11">
        <v>100.2</v>
      </c>
      <c r="CS10" s="31">
        <f>SUM(CO10:CR10)</f>
        <v>103.90000000000002</v>
      </c>
      <c r="CU10" s="11">
        <f>1.9-50.9-0.6</f>
        <v>-49.6</v>
      </c>
      <c r="CV10" s="11">
        <f>1.7-142.5+2.3</f>
        <v>-138.5</v>
      </c>
      <c r="CW10" s="11">
        <f>37.2+79.1+0.4</f>
        <v>116.7</v>
      </c>
      <c r="CX10" s="11">
        <v>165.5</v>
      </c>
      <c r="CY10" s="31">
        <f>SUM(CU10:CX10)</f>
        <v>94.100000000000009</v>
      </c>
      <c r="DA10" s="11">
        <v>-74.5</v>
      </c>
      <c r="DB10" s="11">
        <f>-0.7+105.6-3.9</f>
        <v>100.99999999999999</v>
      </c>
      <c r="DC10" s="11">
        <v>-40.700000000000003</v>
      </c>
      <c r="DD10" s="11">
        <v>149.30000000000001</v>
      </c>
      <c r="DE10" s="31">
        <f>SUM(DA10:DD10)</f>
        <v>135.1</v>
      </c>
      <c r="DG10" s="11">
        <f>-122.5-3.9</f>
        <v>-126.4</v>
      </c>
      <c r="DH10" s="11">
        <f>251.2+0.6</f>
        <v>251.79999999999998</v>
      </c>
      <c r="DI10" s="11">
        <f>88.9-5.5</f>
        <v>83.4</v>
      </c>
      <c r="DJ10" s="11">
        <f>+DK10-SUM(DG10:DI10)</f>
        <v>95.000000000000028</v>
      </c>
      <c r="DK10" s="31">
        <v>303.8</v>
      </c>
      <c r="DM10" s="13">
        <f>-42+7</f>
        <v>-35</v>
      </c>
      <c r="DN10" s="13">
        <f>585-2-42</f>
        <v>541</v>
      </c>
      <c r="DO10" s="13">
        <v>-116</v>
      </c>
      <c r="DP10" s="13">
        <f>+DQ10-DM10-DN10-DO10</f>
        <v>291</v>
      </c>
      <c r="DQ10" s="261">
        <f>711+8-38</f>
        <v>681</v>
      </c>
      <c r="DS10" s="13">
        <f>-234+4-12</f>
        <v>-242</v>
      </c>
      <c r="DT10" s="13">
        <f>-82-4-12</f>
        <v>-98</v>
      </c>
      <c r="DU10" s="13">
        <f>-51+9-13</f>
        <v>-55</v>
      </c>
      <c r="DV10" s="13"/>
      <c r="DW10" s="261">
        <f>+DS10+DT10+DU10+DV10</f>
        <v>-395</v>
      </c>
    </row>
    <row r="11" spans="1:127" s="90" customFormat="1" ht="15.75" customHeight="1" x14ac:dyDescent="0.2">
      <c r="A11" s="88" t="s">
        <v>54</v>
      </c>
      <c r="B11" s="88"/>
      <c r="C11" s="88">
        <f>SUM(C6:C10)</f>
        <v>-25.234899328859058</v>
      </c>
      <c r="D11" s="88">
        <f>SUM(D6:D10)</f>
        <v>2.6845637583892632</v>
      </c>
      <c r="E11" s="88">
        <f>SUM(E6:E10)</f>
        <v>7.3825503355704711</v>
      </c>
      <c r="F11" s="88">
        <f>SUM(F6:F10)</f>
        <v>20.671140939597315</v>
      </c>
      <c r="G11" s="89">
        <f>SUM(G6:G10)</f>
        <v>5.5033557046979809</v>
      </c>
      <c r="H11" s="88"/>
      <c r="I11" s="88">
        <f>SUM(I6:I10)</f>
        <v>-28.993288590604028</v>
      </c>
      <c r="J11" s="88">
        <f>SUM(J6:J10)</f>
        <v>10.604026845637584</v>
      </c>
      <c r="K11" s="88">
        <f>SUM(K6:K10)</f>
        <v>24.966442953020135</v>
      </c>
      <c r="L11" s="88">
        <f>SUM(L6:L10)</f>
        <v>28.993288590604024</v>
      </c>
      <c r="M11" s="89">
        <f>SUM(M6:M10)</f>
        <v>35.570469798657726</v>
      </c>
      <c r="N11" s="88"/>
      <c r="O11" s="88">
        <f>SUM(O6:O10)</f>
        <v>6.7114093959731562</v>
      </c>
      <c r="P11" s="88">
        <f>SUM(P6:P10)</f>
        <v>18.791946308724832</v>
      </c>
      <c r="Q11" s="88">
        <f>SUM(Q6:Q10)</f>
        <v>57.04697986577181</v>
      </c>
      <c r="R11" s="88">
        <f>SUM(R6:R10)</f>
        <v>73.422818791946312</v>
      </c>
      <c r="S11" s="89">
        <f>SUM(S6:S10)</f>
        <v>155.9731543624161</v>
      </c>
      <c r="T11" s="88"/>
      <c r="U11" s="88">
        <f>SUM(U6:U10)</f>
        <v>-33.557046979865774</v>
      </c>
      <c r="V11" s="88">
        <f>SUM(V6:V10)</f>
        <v>-3.0872483221476514</v>
      </c>
      <c r="W11" s="88">
        <f>SUM(W6:W10)</f>
        <v>24.026845637583893</v>
      </c>
      <c r="X11" s="88">
        <f>SUM(X6:X10)</f>
        <v>115.03355704697987</v>
      </c>
      <c r="Y11" s="89">
        <f>SUM(Y6:Y10)</f>
        <v>102.41610738255035</v>
      </c>
      <c r="Z11" s="88"/>
      <c r="AA11" s="88">
        <f>SUM(AA6:AA10)</f>
        <v>22.456375838926171</v>
      </c>
      <c r="AB11" s="88">
        <f>SUM(AB6:AB10)</f>
        <v>2.8187919463087283</v>
      </c>
      <c r="AC11" s="88">
        <f>SUM(AC6:AC10)</f>
        <v>27.248322147651006</v>
      </c>
      <c r="AD11" s="88">
        <f>SUM(AD6:AD10)</f>
        <v>25.63758389261745</v>
      </c>
      <c r="AE11" s="89">
        <f>SUM(AE6:AE10)</f>
        <v>78.161073825503365</v>
      </c>
      <c r="AG11" s="88">
        <f>SUM(AG6:AG10)</f>
        <v>-29.664429530201343</v>
      </c>
      <c r="AH11" s="88">
        <f>SUM(AH6:AH10)</f>
        <v>-35.302013422818789</v>
      </c>
      <c r="AI11" s="88">
        <f>SUM(AI6:AI10)</f>
        <v>-20.134228187919462</v>
      </c>
      <c r="AJ11" s="88">
        <f>SUM(AJ6:AJ10)</f>
        <v>34.899328859060404</v>
      </c>
      <c r="AK11" s="89">
        <f>SUM(AK6:AK10)</f>
        <v>-50.201342281879164</v>
      </c>
      <c r="AM11" s="88">
        <f>SUM(AM6:AM10)</f>
        <v>-60.805369127516776</v>
      </c>
      <c r="AN11" s="88">
        <f>SUM(AN6:AN10)</f>
        <v>9.6644295302013425</v>
      </c>
      <c r="AO11" s="88">
        <f>SUM(AO6:AO10)</f>
        <v>53.557046979865774</v>
      </c>
      <c r="AP11" s="88">
        <f>SUM(AP6:AP10)</f>
        <v>72.483221476510067</v>
      </c>
      <c r="AQ11" s="89">
        <f>SUM(AQ6:AQ10)</f>
        <v>74.899328859060418</v>
      </c>
      <c r="AS11" s="88">
        <f>SUM(AS6:AS10)</f>
        <v>3.6241610738255048</v>
      </c>
      <c r="AT11" s="88">
        <f>SUM(AT6:AT10)</f>
        <v>8.8590604026845643</v>
      </c>
      <c r="AU11" s="88">
        <f>SUM(AU6:AU10)</f>
        <v>4.0268456375838895</v>
      </c>
      <c r="AV11" s="88">
        <f>SUM(AV6:AV10)</f>
        <v>134.09395973154363</v>
      </c>
      <c r="AW11" s="89">
        <f>SUM(AW6:AW10)</f>
        <v>150.60402684563758</v>
      </c>
      <c r="AY11" s="88">
        <f>SUM(AY6:AY10)</f>
        <v>-69.932885906040269</v>
      </c>
      <c r="AZ11" s="88">
        <f>SUM(AZ6:AZ10)</f>
        <v>-1.3422818791946298</v>
      </c>
      <c r="BA11" s="88">
        <f>SUM(BA6:BA10)</f>
        <v>47.785234899328856</v>
      </c>
      <c r="BB11" s="88">
        <f>SUM(BB6:BB10)</f>
        <v>96.644295302013418</v>
      </c>
      <c r="BC11" s="89">
        <f>SUM(BC6:BC10)</f>
        <v>73.154362416107375</v>
      </c>
      <c r="BE11" s="88">
        <f>SUM(BE6:BE10)</f>
        <v>26.711409395973153</v>
      </c>
      <c r="BF11" s="88">
        <f>SUM(BF6:BF10)</f>
        <v>14.630872483221474</v>
      </c>
      <c r="BG11" s="88">
        <f>SUM(BG6:BG10)</f>
        <v>17.31543624161074</v>
      </c>
      <c r="BH11" s="88">
        <f>SUM(BH6:BH10)</f>
        <v>153.82550335570471</v>
      </c>
      <c r="BI11" s="89">
        <f>SUM(BI6:BI10)</f>
        <v>212.48322147651004</v>
      </c>
      <c r="BK11" s="88">
        <f>SUM(BK6:BK10)</f>
        <v>12.751677852348994</v>
      </c>
      <c r="BL11" s="88">
        <f>SUM(BL6:BL10)</f>
        <v>5.3691275167785193</v>
      </c>
      <c r="BM11" s="88">
        <f>SUM(BM6:BM10)</f>
        <v>35.70469798657718</v>
      </c>
      <c r="BN11" s="88">
        <f>SUM(BN6:BN10)</f>
        <v>119.4</v>
      </c>
      <c r="BO11" s="89">
        <f>SUM(BO6:BO10)</f>
        <v>173.22550335570472</v>
      </c>
      <c r="BQ11" s="88">
        <f>SUM(BQ6:BQ10)</f>
        <v>-9.0990000000000038</v>
      </c>
      <c r="BR11" s="88">
        <f>SUM(BR6:BR10)</f>
        <v>28.7</v>
      </c>
      <c r="BS11" s="88">
        <f>SUM(BS6:BS10)</f>
        <v>48.1</v>
      </c>
      <c r="BT11" s="88">
        <f>SUM(BT6:BT10)</f>
        <v>86.2</v>
      </c>
      <c r="BU11" s="89">
        <f>SUM(BU6:BU10)</f>
        <v>153.90099999999998</v>
      </c>
      <c r="BW11" s="88">
        <f>SUM(BW6:BW10)</f>
        <v>-38.4</v>
      </c>
      <c r="BX11" s="88">
        <f>SUM(BX6:BX10)</f>
        <v>16.800000000000004</v>
      </c>
      <c r="BY11" s="88">
        <f>SUM(BY6:BY10)</f>
        <v>46.7</v>
      </c>
      <c r="BZ11" s="88">
        <f>SUM(BZ6:BZ10)</f>
        <v>62.699999999999974</v>
      </c>
      <c r="CA11" s="89">
        <f>SUM(CA6:CA10)</f>
        <v>87.8</v>
      </c>
      <c r="CC11" s="88">
        <f>SUM(CC6:CC10)</f>
        <v>-131.80000000000001</v>
      </c>
      <c r="CD11" s="88">
        <f>SUM(CD6:CD10)</f>
        <v>36.4</v>
      </c>
      <c r="CE11" s="88">
        <f>SUM(CE6:CE10)</f>
        <v>-34.799999999999997</v>
      </c>
      <c r="CF11" s="88">
        <f>SUM(CF6:CF10)</f>
        <v>87.999999999999986</v>
      </c>
      <c r="CG11" s="89">
        <f>SUM(CG6:CG10)</f>
        <v>-42.20000000000001</v>
      </c>
      <c r="CI11" s="88">
        <f>SUM(CI6:CI10)</f>
        <v>-54.599999999999994</v>
      </c>
      <c r="CJ11" s="88">
        <f>SUM(CJ6:CJ10)</f>
        <v>23.1</v>
      </c>
      <c r="CK11" s="88">
        <f>SUM(CK6:CK10)</f>
        <v>11.000000000000002</v>
      </c>
      <c r="CL11" s="88">
        <f>SUM(CL6:CL10)</f>
        <v>145.5</v>
      </c>
      <c r="CM11" s="89">
        <f>SUM(CM6:CM10)</f>
        <v>125.00000000000001</v>
      </c>
      <c r="CO11" s="88">
        <f>SUM(CO6:CO10)</f>
        <v>-121.49999999999999</v>
      </c>
      <c r="CP11" s="88">
        <f>SUM(CP6:CP10)</f>
        <v>-11.799999999999997</v>
      </c>
      <c r="CQ11" s="88">
        <f>SUM(CQ6:CQ10)</f>
        <v>158.70000000000002</v>
      </c>
      <c r="CR11" s="88">
        <f>SUM(CR6:CR10)</f>
        <v>110.9</v>
      </c>
      <c r="CS11" s="89">
        <f>SUM(CS6:CS10)</f>
        <v>136.30000000000001</v>
      </c>
      <c r="CU11" s="88">
        <f>SUM(CU6:CU10)</f>
        <v>-22.3</v>
      </c>
      <c r="CV11" s="88">
        <f t="shared" ref="CV11:CX11" si="0">SUM(CV6:CV10)</f>
        <v>-99.6</v>
      </c>
      <c r="CW11" s="88">
        <f t="shared" si="0"/>
        <v>145.80000000000001</v>
      </c>
      <c r="CX11" s="88">
        <f t="shared" si="0"/>
        <v>183.9</v>
      </c>
      <c r="CY11" s="89">
        <f>SUM(CY6:CY10)</f>
        <v>207.8</v>
      </c>
      <c r="DA11" s="88">
        <f>SUM(DA6:DA10)</f>
        <v>-40.900000000000006</v>
      </c>
      <c r="DB11" s="88">
        <f t="shared" ref="DB11:DD11" si="1">SUM(DB6:DB10)</f>
        <v>137</v>
      </c>
      <c r="DC11" s="88">
        <f t="shared" si="1"/>
        <v>-0.39999999999999858</v>
      </c>
      <c r="DD11" s="88">
        <f t="shared" si="1"/>
        <v>202.5</v>
      </c>
      <c r="DE11" s="89">
        <f>SUM(DE6:DE10)</f>
        <v>298.2</v>
      </c>
      <c r="DG11" s="88">
        <f>SUM(DG6:DG10)</f>
        <v>-65.200000000000017</v>
      </c>
      <c r="DH11" s="88">
        <f>SUM(DH6:DH10)</f>
        <v>321.09999999999997</v>
      </c>
      <c r="DI11" s="88">
        <f>SUM(DI6:DI10)</f>
        <v>146.69999999999999</v>
      </c>
      <c r="DJ11" s="88">
        <f>SUM(DJ6:DJ10)</f>
        <v>139.80000000000004</v>
      </c>
      <c r="DK11" s="89">
        <v>542.4</v>
      </c>
      <c r="DM11" s="262">
        <f>SUM(DM6:DM10)</f>
        <v>48</v>
      </c>
      <c r="DN11" s="262">
        <f>SUM(DN6:DN10)</f>
        <v>642</v>
      </c>
      <c r="DO11" s="262">
        <f>SUM(DO6:DO10)</f>
        <v>-19</v>
      </c>
      <c r="DP11" s="262">
        <f>SUM(DP6:DP10)</f>
        <v>368</v>
      </c>
      <c r="DQ11" s="263">
        <f>+SUM(DQ6:DQ10)</f>
        <v>1039</v>
      </c>
      <c r="DS11" s="262">
        <f>SUM(DS6:DS10)</f>
        <v>-141</v>
      </c>
      <c r="DT11" s="262">
        <f>SUM(DT6:DT10)</f>
        <v>-1</v>
      </c>
      <c r="DU11" s="262">
        <f>SUM(DU6:DU10)</f>
        <v>68</v>
      </c>
      <c r="DV11" s="262"/>
      <c r="DW11" s="263">
        <f>+SUM(DW6:DW10)</f>
        <v>-74</v>
      </c>
    </row>
    <row r="12" spans="1:127" s="91" customFormat="1" x14ac:dyDescent="0.2">
      <c r="G12" s="92"/>
      <c r="M12" s="92"/>
      <c r="S12" s="92"/>
      <c r="Y12" s="92"/>
      <c r="AE12" s="92"/>
      <c r="AK12" s="92"/>
      <c r="AQ12" s="92"/>
      <c r="AW12" s="92"/>
      <c r="BC12" s="92"/>
      <c r="BI12" s="92"/>
      <c r="BO12" s="92"/>
      <c r="BU12" s="92"/>
      <c r="CA12" s="92"/>
      <c r="CG12" s="92"/>
      <c r="CM12" s="92"/>
      <c r="CS12" s="92"/>
      <c r="CY12" s="92"/>
      <c r="DE12" s="92"/>
      <c r="DK12" s="92"/>
      <c r="DM12" s="264"/>
      <c r="DN12" s="264"/>
      <c r="DO12" s="264"/>
      <c r="DP12" s="264"/>
      <c r="DQ12" s="265"/>
      <c r="DS12" s="264"/>
      <c r="DT12" s="264"/>
      <c r="DU12" s="264"/>
      <c r="DV12" s="264"/>
      <c r="DW12" s="265"/>
    </row>
    <row r="13" spans="1:127" x14ac:dyDescent="0.2">
      <c r="A13" s="11" t="s">
        <v>94</v>
      </c>
      <c r="C13" s="11">
        <f>(97-13)/7.45</f>
        <v>11.275167785234899</v>
      </c>
      <c r="D13" s="11">
        <v>0</v>
      </c>
      <c r="E13" s="11">
        <v>0</v>
      </c>
      <c r="F13" s="11">
        <v>-0.93959731543624159</v>
      </c>
      <c r="G13" s="31">
        <f>SUM(C13:F13)</f>
        <v>10.335570469798657</v>
      </c>
      <c r="I13" s="11">
        <v>-1.3422818791946309</v>
      </c>
      <c r="J13" s="11">
        <v>0</v>
      </c>
      <c r="K13" s="11">
        <v>0</v>
      </c>
      <c r="L13" s="11">
        <v>-0.53691275167785235</v>
      </c>
      <c r="M13" s="31">
        <f>SUM(I13:L13)</f>
        <v>-1.8791946308724832</v>
      </c>
      <c r="O13" s="11">
        <v>-127.91946308724832</v>
      </c>
      <c r="P13" s="11">
        <v>-13.825503355704697</v>
      </c>
      <c r="Q13" s="11">
        <v>-39.865771812080538</v>
      </c>
      <c r="R13" s="11">
        <v>-5.6375838926174495</v>
      </c>
      <c r="S13" s="31">
        <f>SUM(O13:R13)</f>
        <v>-187.24832214765098</v>
      </c>
      <c r="U13" s="11">
        <v>-13.020134228187919</v>
      </c>
      <c r="V13" s="11">
        <v>-12.617449664429531</v>
      </c>
      <c r="W13" s="11">
        <v>-3.2214765100671139</v>
      </c>
      <c r="X13" s="11">
        <v>0</v>
      </c>
      <c r="Y13" s="31">
        <f>SUM(U13:X13)</f>
        <v>-28.859060402684563</v>
      </c>
      <c r="AA13" s="11">
        <v>0</v>
      </c>
      <c r="AB13" s="11">
        <v>0</v>
      </c>
      <c r="AC13" s="11">
        <v>0</v>
      </c>
      <c r="AD13" s="11">
        <v>-1.4765100671140938</v>
      </c>
      <c r="AE13" s="31">
        <f>SUM(AA13:AD13)</f>
        <v>-1.4765100671140938</v>
      </c>
      <c r="AG13" s="11">
        <v>0</v>
      </c>
      <c r="AH13" s="11">
        <v>-2.9530201342281877</v>
      </c>
      <c r="AI13" s="11">
        <v>-0.80536912751677847</v>
      </c>
      <c r="AJ13" s="11">
        <v>-2.8187919463087248</v>
      </c>
      <c r="AK13" s="31">
        <f>SUM(AG13:AJ13)</f>
        <v>-6.5771812080536911</v>
      </c>
      <c r="AM13" s="11">
        <v>-14.765100671140939</v>
      </c>
      <c r="AN13" s="11">
        <v>-5.5033557046979862</v>
      </c>
      <c r="AO13" s="11">
        <v>-7.7852348993288585</v>
      </c>
      <c r="AP13" s="11">
        <v>-2.0134228187919461</v>
      </c>
      <c r="AQ13" s="31">
        <f>SUM(AM13:AP13)</f>
        <v>-30.067114093959727</v>
      </c>
      <c r="AS13" s="11">
        <v>-0.93959731543624159</v>
      </c>
      <c r="AT13" s="11">
        <v>0</v>
      </c>
      <c r="AU13" s="11">
        <v>-0.40268456375838924</v>
      </c>
      <c r="AV13" s="11">
        <v>0.26845637583892618</v>
      </c>
      <c r="AW13" s="31">
        <f>SUM(AS13:AV13)</f>
        <v>-1.0738255033557045</v>
      </c>
      <c r="AY13" s="11">
        <v>-0.13422818791946309</v>
      </c>
      <c r="AZ13" s="11">
        <v>-0.53691275167785235</v>
      </c>
      <c r="BA13" s="11">
        <v>-30.872483221476511</v>
      </c>
      <c r="BB13" s="11">
        <v>1.2080536912751678</v>
      </c>
      <c r="BC13" s="31">
        <f>SUM(AY13:BB13)</f>
        <v>-30.335570469798657</v>
      </c>
      <c r="BE13" s="11">
        <v>11.006711409395972</v>
      </c>
      <c r="BF13" s="11">
        <v>0</v>
      </c>
      <c r="BG13" s="11">
        <v>0</v>
      </c>
      <c r="BH13" s="11">
        <v>-0.80536912751677847</v>
      </c>
      <c r="BI13" s="31">
        <f>SUM(BE13:BH13)</f>
        <v>10.201342281879194</v>
      </c>
      <c r="BK13" s="11">
        <v>0</v>
      </c>
      <c r="BL13" s="11">
        <v>-15.973154362416107</v>
      </c>
      <c r="BM13" s="11">
        <v>0.80536912751677847</v>
      </c>
      <c r="BN13" s="11">
        <v>-9.9</v>
      </c>
      <c r="BO13" s="31">
        <f>SUM(BK13:BN13)</f>
        <v>-25.067785234899329</v>
      </c>
      <c r="BQ13" s="11">
        <v>-53.1</v>
      </c>
      <c r="BR13" s="11">
        <v>0</v>
      </c>
      <c r="BS13" s="11">
        <v>-0.8</v>
      </c>
      <c r="BT13" s="11">
        <v>2.8</v>
      </c>
      <c r="BU13" s="31">
        <f>SUM(BQ13:BT13)</f>
        <v>-51.1</v>
      </c>
      <c r="BW13" s="11">
        <v>-633.4</v>
      </c>
      <c r="BX13" s="11">
        <v>-126.7</v>
      </c>
      <c r="BY13" s="11">
        <f>-11.1+0.1</f>
        <v>-11</v>
      </c>
      <c r="BZ13" s="12">
        <f>771.1-387.9-379.8</f>
        <v>3.4000000000000341</v>
      </c>
      <c r="CA13" s="31">
        <f t="shared" ref="CA13:CA18" si="2">SUM(BW13:BZ13)</f>
        <v>-767.7</v>
      </c>
      <c r="CF13" s="12"/>
      <c r="CG13" s="31">
        <f t="shared" ref="CG13:CG18" si="3">SUM(CC13:CF13)</f>
        <v>0</v>
      </c>
      <c r="CI13" s="11">
        <v>9.5</v>
      </c>
      <c r="CJ13" s="11">
        <v>-1.8</v>
      </c>
      <c r="CK13" s="11">
        <v>0</v>
      </c>
      <c r="CL13" s="12">
        <v>-5.5</v>
      </c>
      <c r="CM13" s="31">
        <f t="shared" ref="CM13:CM18" si="4">SUM(CI13:CL13)</f>
        <v>2.2000000000000002</v>
      </c>
      <c r="CR13" s="12"/>
      <c r="CS13" s="31">
        <f t="shared" ref="CS13:CS18" si="5">SUM(CO13:CR13)</f>
        <v>0</v>
      </c>
      <c r="CU13" s="11">
        <v>2.1</v>
      </c>
      <c r="CV13" s="11">
        <v>0</v>
      </c>
      <c r="CW13" s="11">
        <v>0</v>
      </c>
      <c r="CX13" s="11">
        <v>0</v>
      </c>
      <c r="CY13" s="31">
        <f t="shared" ref="CY13:CY18" si="6">SUM(CU13:CX13)</f>
        <v>2.1</v>
      </c>
      <c r="DA13" s="11">
        <v>-15.3</v>
      </c>
      <c r="DB13" s="11">
        <v>-0.4</v>
      </c>
      <c r="DC13" s="11">
        <v>0</v>
      </c>
      <c r="DD13" s="11">
        <v>0</v>
      </c>
      <c r="DE13" s="31">
        <f t="shared" ref="DE13:DE18" si="7">SUM(DA13:DD13)</f>
        <v>-15.700000000000001</v>
      </c>
      <c r="DG13" s="11">
        <v>0</v>
      </c>
      <c r="DH13" s="11">
        <v>-9.1</v>
      </c>
      <c r="DI13" s="11">
        <v>0</v>
      </c>
      <c r="DJ13" s="11">
        <f t="shared" ref="DJ13:DJ18" si="8">+DK13-SUM(DG13:DI13)</f>
        <v>0</v>
      </c>
      <c r="DK13" s="31">
        <v>-9.1</v>
      </c>
      <c r="DM13" s="13">
        <v>0</v>
      </c>
      <c r="DN13" s="13">
        <v>-144</v>
      </c>
      <c r="DO13" s="13">
        <v>0</v>
      </c>
      <c r="DP13" s="13">
        <v>0</v>
      </c>
      <c r="DQ13" s="261">
        <f>+DM13+DN13+DO13+DP13</f>
        <v>-144</v>
      </c>
      <c r="DS13" s="13">
        <v>0</v>
      </c>
      <c r="DT13" s="13">
        <v>0</v>
      </c>
      <c r="DU13" s="13">
        <v>0</v>
      </c>
      <c r="DV13" s="13"/>
      <c r="DW13" s="261">
        <f>+DS13+DT13+DU13+DV13</f>
        <v>0</v>
      </c>
    </row>
    <row r="14" spans="1:127" x14ac:dyDescent="0.2">
      <c r="A14" s="11" t="s">
        <v>169</v>
      </c>
      <c r="G14" s="31"/>
      <c r="M14" s="31"/>
      <c r="S14" s="31"/>
      <c r="Y14" s="31"/>
      <c r="AE14" s="31"/>
      <c r="AK14" s="31"/>
      <c r="AQ14" s="31"/>
      <c r="AW14" s="31"/>
      <c r="BC14" s="31"/>
      <c r="BI14" s="31"/>
      <c r="BO14" s="31"/>
      <c r="BU14" s="31"/>
      <c r="BZ14" s="12">
        <v>379.8</v>
      </c>
      <c r="CA14" s="31">
        <f t="shared" si="2"/>
        <v>379.8</v>
      </c>
      <c r="CF14" s="12"/>
      <c r="CG14" s="31">
        <f t="shared" si="3"/>
        <v>0</v>
      </c>
      <c r="CL14" s="12"/>
      <c r="CM14" s="31">
        <f t="shared" si="4"/>
        <v>0</v>
      </c>
      <c r="CR14" s="12"/>
      <c r="CS14" s="31">
        <f t="shared" si="5"/>
        <v>0</v>
      </c>
      <c r="CY14" s="31">
        <f t="shared" si="6"/>
        <v>0</v>
      </c>
      <c r="DE14" s="31">
        <f t="shared" si="7"/>
        <v>0</v>
      </c>
      <c r="DK14" s="31"/>
      <c r="DM14" s="13"/>
      <c r="DN14" s="13"/>
      <c r="DO14" s="13"/>
      <c r="DP14" s="13"/>
      <c r="DQ14" s="261"/>
      <c r="DS14" s="13"/>
      <c r="DT14" s="13"/>
      <c r="DU14" s="13"/>
      <c r="DV14" s="13"/>
      <c r="DW14" s="261"/>
    </row>
    <row r="15" spans="1:127" x14ac:dyDescent="0.2">
      <c r="A15" s="11" t="s">
        <v>69</v>
      </c>
      <c r="C15" s="11">
        <v>-3.7583892617449663</v>
      </c>
      <c r="D15" s="11">
        <v>-2.0134228187919461</v>
      </c>
      <c r="E15" s="11">
        <v>-7.5167785234899327</v>
      </c>
      <c r="F15" s="11">
        <v>-0.80536912751677847</v>
      </c>
      <c r="G15" s="31">
        <f>SUM(C15:F15)</f>
        <v>-14.093959731543624</v>
      </c>
      <c r="I15" s="11">
        <v>-8.9932885906040259</v>
      </c>
      <c r="J15" s="11">
        <v>23.624161073825501</v>
      </c>
      <c r="K15" s="11">
        <v>-6.174496644295302</v>
      </c>
      <c r="L15" s="11">
        <v>-12.348993288590604</v>
      </c>
      <c r="M15" s="31">
        <f>SUM(I15:L15)</f>
        <v>-3.8926174496644297</v>
      </c>
      <c r="N15" s="11" t="s">
        <v>47</v>
      </c>
      <c r="O15" s="11">
        <v>-11.946308724832214</v>
      </c>
      <c r="P15" s="11">
        <v>-11.409395973154362</v>
      </c>
      <c r="Q15" s="11">
        <v>-11.275167785234899</v>
      </c>
      <c r="R15" s="11">
        <v>-17.583892617449663</v>
      </c>
      <c r="S15" s="31">
        <f>SUM(O15:R15)</f>
        <v>-52.214765100671137</v>
      </c>
      <c r="T15" s="11" t="s">
        <v>47</v>
      </c>
      <c r="U15" s="11">
        <v>25.100671140939596</v>
      </c>
      <c r="V15" s="11">
        <v>-20.671140939597315</v>
      </c>
      <c r="W15" s="11">
        <f>(-408-33+272)/7.45</f>
        <v>-22.68456375838926</v>
      </c>
      <c r="X15" s="11">
        <v>-40.805369127516776</v>
      </c>
      <c r="Y15" s="31">
        <f>SUM(U15:X15)</f>
        <v>-59.060402684563755</v>
      </c>
      <c r="Z15" s="11" t="s">
        <v>47</v>
      </c>
      <c r="AA15" s="11">
        <v>-22.281879194630871</v>
      </c>
      <c r="AB15" s="12">
        <v>-34.228187919463089</v>
      </c>
      <c r="AC15" s="11">
        <v>-33.154362416107382</v>
      </c>
      <c r="AD15" s="11">
        <v>-26.845637583892618</v>
      </c>
      <c r="AE15" s="31">
        <f>SUM(AA15:AD15)</f>
        <v>-116.51006711409397</v>
      </c>
      <c r="AG15" s="11">
        <v>-39.597315436241608</v>
      </c>
      <c r="AH15" s="11">
        <v>-20.536912751677853</v>
      </c>
      <c r="AI15" s="11">
        <v>-17.583892617449663</v>
      </c>
      <c r="AJ15" s="11">
        <v>-19.328859060402685</v>
      </c>
      <c r="AK15" s="31">
        <f>SUM(AG15:AJ15)</f>
        <v>-97.046979865771817</v>
      </c>
      <c r="AM15" s="11">
        <v>-12.483221476510067</v>
      </c>
      <c r="AN15" s="11">
        <v>-14.630872483221475</v>
      </c>
      <c r="AO15" s="11">
        <v>-13.422818791946309</v>
      </c>
      <c r="AP15" s="11">
        <v>-16.778523489932887</v>
      </c>
      <c r="AQ15" s="31">
        <f>SUM(AM15:AP15)</f>
        <v>-57.315436241610733</v>
      </c>
      <c r="AS15" s="11">
        <v>-11.812080536912751</v>
      </c>
      <c r="AT15" s="11">
        <v>-8.9932885906040259</v>
      </c>
      <c r="AU15" s="11">
        <v>-7.1140939597315436</v>
      </c>
      <c r="AV15" s="11">
        <v>-14.630872483221475</v>
      </c>
      <c r="AW15" s="31">
        <f>SUM(AS15:AV15)</f>
        <v>-42.550335570469798</v>
      </c>
      <c r="AY15" s="11">
        <v>-8.0536912751677843</v>
      </c>
      <c r="AZ15" s="11">
        <v>-7.1140939597315436</v>
      </c>
      <c r="BA15" s="11">
        <v>-6.9798657718120802</v>
      </c>
      <c r="BB15" s="11">
        <v>-10.604026845637584</v>
      </c>
      <c r="BC15" s="31">
        <f>SUM(AY15:BB15)</f>
        <v>-32.75167785234899</v>
      </c>
      <c r="BE15" s="11">
        <v>-6.7114093959731544</v>
      </c>
      <c r="BF15" s="11">
        <v>-6.5771812080536911</v>
      </c>
      <c r="BG15" s="11">
        <v>-9.3959731543624159</v>
      </c>
      <c r="BH15" s="11">
        <v>-8.3221476510067109</v>
      </c>
      <c r="BI15" s="31">
        <f>SUM(BE15:BH15)</f>
        <v>-31.006711409395969</v>
      </c>
      <c r="BK15" s="11">
        <v>-5.1006711409395971</v>
      </c>
      <c r="BL15" s="11">
        <v>-7.3825503355704694</v>
      </c>
      <c r="BM15" s="11">
        <v>-6.8456375838926169</v>
      </c>
      <c r="BN15" s="11">
        <v>-15.8</v>
      </c>
      <c r="BO15" s="31">
        <f>SUM(BK15:BN15)</f>
        <v>-35.128859060402689</v>
      </c>
      <c r="BQ15" s="11">
        <v>-10.3</v>
      </c>
      <c r="BR15" s="11">
        <v>-6.6</v>
      </c>
      <c r="BS15" s="11">
        <v>-8.9</v>
      </c>
      <c r="BT15" s="11">
        <v>-11.4</v>
      </c>
      <c r="BU15" s="31">
        <f>SUM(BQ15:BT15)</f>
        <v>-37.199999999999996</v>
      </c>
      <c r="BW15" s="11">
        <f>-14+0.9</f>
        <v>-13.1</v>
      </c>
      <c r="BX15" s="11">
        <f>-13.4-1</f>
        <v>-14.4</v>
      </c>
      <c r="BY15" s="11">
        <v>-8.9</v>
      </c>
      <c r="BZ15" s="12">
        <f>36.4-50.6+0.2</f>
        <v>-14.000000000000004</v>
      </c>
      <c r="CA15" s="31">
        <f t="shared" si="2"/>
        <v>-50.400000000000006</v>
      </c>
      <c r="CC15" s="11">
        <v>-4.9000000000000004</v>
      </c>
      <c r="CD15" s="11">
        <f>-4.8-0.1</f>
        <v>-4.8999999999999995</v>
      </c>
      <c r="CE15" s="11">
        <f>-6.1-0.2</f>
        <v>-6.3</v>
      </c>
      <c r="CF15" s="12">
        <f>-12.4+1.2</f>
        <v>-11.200000000000001</v>
      </c>
      <c r="CG15" s="31">
        <f t="shared" si="3"/>
        <v>-27.300000000000004</v>
      </c>
      <c r="CI15" s="11">
        <f>-5.1+0.9</f>
        <v>-4.1999999999999993</v>
      </c>
      <c r="CJ15" s="11">
        <f>-10.7+0.4</f>
        <v>-10.299999999999999</v>
      </c>
      <c r="CK15" s="11">
        <f>-7.9+0.4</f>
        <v>-7.5</v>
      </c>
      <c r="CL15" s="12">
        <v>-11.2</v>
      </c>
      <c r="CM15" s="31">
        <f t="shared" si="4"/>
        <v>-33.200000000000003</v>
      </c>
      <c r="CO15" s="11">
        <f>-5.7+0.2</f>
        <v>-5.5</v>
      </c>
      <c r="CP15" s="11">
        <f>-9.6+0.2</f>
        <v>-9.4</v>
      </c>
      <c r="CQ15" s="11">
        <f>-9.4+0.3</f>
        <v>-9.1</v>
      </c>
      <c r="CR15" s="12">
        <v>-41.1</v>
      </c>
      <c r="CS15" s="31">
        <f t="shared" si="5"/>
        <v>-65.099999999999994</v>
      </c>
      <c r="CU15" s="11">
        <v>-22.9</v>
      </c>
      <c r="CV15" s="11">
        <v>-47.7</v>
      </c>
      <c r="CW15" s="11">
        <f>-38.2+0.1</f>
        <v>-38.1</v>
      </c>
      <c r="CX15" s="11">
        <v>-82.4</v>
      </c>
      <c r="CY15" s="31">
        <f t="shared" si="6"/>
        <v>-191.1</v>
      </c>
      <c r="DA15" s="11">
        <v>-31.1</v>
      </c>
      <c r="DB15" s="11">
        <v>-42.1</v>
      </c>
      <c r="DC15" s="11">
        <v>-33.1</v>
      </c>
      <c r="DD15" s="11">
        <v>-47.8</v>
      </c>
      <c r="DE15" s="31">
        <f t="shared" si="7"/>
        <v>-154.10000000000002</v>
      </c>
      <c r="DG15" s="11">
        <f>-23.2+0.2</f>
        <v>-23</v>
      </c>
      <c r="DH15" s="11">
        <v>-22.3</v>
      </c>
      <c r="DI15" s="11">
        <v>-52.3</v>
      </c>
      <c r="DJ15" s="11">
        <f t="shared" si="8"/>
        <v>-106.9</v>
      </c>
      <c r="DK15" s="31">
        <f>-204.5</f>
        <v>-204.5</v>
      </c>
      <c r="DM15" s="13">
        <v>-58</v>
      </c>
      <c r="DN15" s="13">
        <v>-95</v>
      </c>
      <c r="DO15" s="13">
        <v>-109</v>
      </c>
      <c r="DP15" s="13">
        <v>-201</v>
      </c>
      <c r="DQ15" s="261">
        <f>+DM15+DN15+DO15+DP15</f>
        <v>-463</v>
      </c>
      <c r="DS15" s="13">
        <v>-158</v>
      </c>
      <c r="DT15" s="13">
        <v>-161</v>
      </c>
      <c r="DU15" s="13">
        <v>-156</v>
      </c>
      <c r="DV15" s="13"/>
      <c r="DW15" s="261">
        <f>+DS15+DT15+DU15+DV15</f>
        <v>-475</v>
      </c>
    </row>
    <row r="16" spans="1:127" ht="15" customHeight="1" x14ac:dyDescent="0.2">
      <c r="A16" s="11" t="s">
        <v>93</v>
      </c>
      <c r="C16" s="11">
        <v>-2.6845637583892619</v>
      </c>
      <c r="D16" s="11">
        <v>0</v>
      </c>
      <c r="E16" s="11">
        <v>0</v>
      </c>
      <c r="F16" s="11">
        <v>0</v>
      </c>
      <c r="G16" s="31">
        <f>SUM(C16:F16)</f>
        <v>-2.6845637583892619</v>
      </c>
      <c r="I16" s="11">
        <v>0</v>
      </c>
      <c r="J16" s="11">
        <v>0</v>
      </c>
      <c r="K16" s="11">
        <v>-7.7852348993288585</v>
      </c>
      <c r="L16" s="11">
        <v>0</v>
      </c>
      <c r="M16" s="31">
        <f>SUM(I16:L16)</f>
        <v>-7.7852348993288585</v>
      </c>
      <c r="O16" s="11">
        <v>0</v>
      </c>
      <c r="P16" s="11">
        <v>0</v>
      </c>
      <c r="Q16" s="11">
        <v>0</v>
      </c>
      <c r="R16" s="11">
        <v>0</v>
      </c>
      <c r="S16" s="31">
        <f>SUM(O16:R16)</f>
        <v>0</v>
      </c>
      <c r="U16" s="11">
        <v>0</v>
      </c>
      <c r="V16" s="11">
        <v>0</v>
      </c>
      <c r="W16" s="11">
        <v>0</v>
      </c>
      <c r="X16" s="11">
        <v>0</v>
      </c>
      <c r="Y16" s="31">
        <f>SUM(U16:X16)</f>
        <v>0</v>
      </c>
      <c r="AA16" s="11">
        <v>0</v>
      </c>
      <c r="AB16" s="12">
        <v>0</v>
      </c>
      <c r="AC16" s="11">
        <v>0</v>
      </c>
      <c r="AD16" s="11">
        <v>-3.087248322147651</v>
      </c>
      <c r="AE16" s="31">
        <f>SUM(AA16:AD16)</f>
        <v>-3.087248322147651</v>
      </c>
      <c r="AG16" s="11">
        <v>0</v>
      </c>
      <c r="AH16" s="11">
        <v>0</v>
      </c>
      <c r="AI16" s="11">
        <v>0</v>
      </c>
      <c r="AJ16" s="11">
        <v>0</v>
      </c>
      <c r="AK16" s="31">
        <f>SUM(AG16:AJ16)</f>
        <v>0</v>
      </c>
      <c r="AM16" s="11">
        <v>0</v>
      </c>
      <c r="AN16" s="11">
        <v>0</v>
      </c>
      <c r="AO16" s="11">
        <v>0</v>
      </c>
      <c r="AP16" s="11">
        <v>0</v>
      </c>
      <c r="AQ16" s="31">
        <f>SUM(AM16:AP16)</f>
        <v>0</v>
      </c>
      <c r="AS16" s="11">
        <v>0</v>
      </c>
      <c r="AT16" s="11">
        <v>0</v>
      </c>
      <c r="AU16" s="11">
        <v>0</v>
      </c>
      <c r="AV16" s="11">
        <v>0</v>
      </c>
      <c r="AW16" s="31">
        <f>SUM(AS16:AV16)</f>
        <v>0</v>
      </c>
      <c r="BC16" s="31">
        <f>SUM(AY16:BB16)</f>
        <v>0</v>
      </c>
      <c r="BI16" s="31">
        <f>SUM(BE16:BH16)</f>
        <v>0</v>
      </c>
      <c r="BO16" s="31">
        <f>SUM(BK16:BN16)</f>
        <v>0</v>
      </c>
      <c r="BU16" s="31">
        <f>SUM(BQ16:BT16)</f>
        <v>0</v>
      </c>
      <c r="BZ16" s="12"/>
      <c r="CA16" s="31">
        <f t="shared" si="2"/>
        <v>0</v>
      </c>
      <c r="CF16" s="12"/>
      <c r="CG16" s="31">
        <f t="shared" si="3"/>
        <v>0</v>
      </c>
      <c r="CL16" s="12"/>
      <c r="CM16" s="31">
        <f t="shared" si="4"/>
        <v>0</v>
      </c>
      <c r="CR16" s="12"/>
      <c r="CS16" s="31">
        <f t="shared" si="5"/>
        <v>0</v>
      </c>
      <c r="CY16" s="31">
        <f t="shared" si="6"/>
        <v>0</v>
      </c>
      <c r="DE16" s="31">
        <f t="shared" si="7"/>
        <v>0</v>
      </c>
      <c r="DK16" s="31"/>
      <c r="DM16" s="13"/>
      <c r="DN16" s="13"/>
      <c r="DO16" s="13"/>
      <c r="DP16" s="13"/>
      <c r="DQ16" s="261"/>
      <c r="DS16" s="13"/>
      <c r="DT16" s="13"/>
      <c r="DU16" s="13"/>
      <c r="DV16" s="13"/>
      <c r="DW16" s="261"/>
    </row>
    <row r="17" spans="1:127" x14ac:dyDescent="0.2">
      <c r="A17" s="11" t="s">
        <v>48</v>
      </c>
      <c r="G17" s="31"/>
      <c r="M17" s="31"/>
      <c r="O17" s="11">
        <v>4.8322147651006713</v>
      </c>
      <c r="P17" s="11">
        <v>0</v>
      </c>
      <c r="Q17" s="11">
        <v>0</v>
      </c>
      <c r="R17" s="11">
        <v>0</v>
      </c>
      <c r="S17" s="31">
        <f>SUM(O17:R17)</f>
        <v>4.8322147651006713</v>
      </c>
      <c r="U17" s="11">
        <v>3.4899328859060401</v>
      </c>
      <c r="V17" s="11">
        <v>0</v>
      </c>
      <c r="W17" s="11">
        <v>0</v>
      </c>
      <c r="X17" s="11">
        <v>0</v>
      </c>
      <c r="Y17" s="31">
        <f>SUM(U17:X17)</f>
        <v>3.4899328859060401</v>
      </c>
      <c r="AA17" s="11">
        <v>0</v>
      </c>
      <c r="AB17" s="12">
        <v>0</v>
      </c>
      <c r="AC17" s="11">
        <v>0</v>
      </c>
      <c r="AD17" s="11">
        <v>0</v>
      </c>
      <c r="AE17" s="31">
        <f>SUM(AA17:AD17)</f>
        <v>0</v>
      </c>
      <c r="AG17" s="11">
        <v>0</v>
      </c>
      <c r="AH17" s="11">
        <v>10.335570469798657</v>
      </c>
      <c r="AI17" s="11">
        <v>0</v>
      </c>
      <c r="AJ17" s="11">
        <v>0</v>
      </c>
      <c r="AK17" s="31">
        <f>SUM(AG17:AJ17)</f>
        <v>10.335570469798657</v>
      </c>
      <c r="AM17" s="11">
        <v>0</v>
      </c>
      <c r="AN17" s="11">
        <v>0</v>
      </c>
      <c r="AO17" s="11">
        <v>0</v>
      </c>
      <c r="AP17" s="11">
        <v>0</v>
      </c>
      <c r="AQ17" s="31">
        <f>SUM(AM17:AP17)</f>
        <v>0</v>
      </c>
      <c r="AS17" s="11">
        <v>0</v>
      </c>
      <c r="AT17" s="11">
        <v>0</v>
      </c>
      <c r="AU17" s="11">
        <v>0</v>
      </c>
      <c r="AV17" s="11">
        <v>0</v>
      </c>
      <c r="AW17" s="31">
        <f>SUM(AS17:AV17)</f>
        <v>0</v>
      </c>
      <c r="BC17" s="31">
        <f>SUM(AY17:BB17)</f>
        <v>0</v>
      </c>
      <c r="BI17" s="31">
        <f>SUM(BE17:BH17)</f>
        <v>0</v>
      </c>
      <c r="BO17" s="31">
        <f>SUM(BK17:BN17)</f>
        <v>0</v>
      </c>
      <c r="BU17" s="31">
        <f>SUM(BQ17:BT17)</f>
        <v>0</v>
      </c>
      <c r="BZ17" s="12"/>
      <c r="CA17" s="31">
        <f t="shared" si="2"/>
        <v>0</v>
      </c>
      <c r="CF17" s="12"/>
      <c r="CG17" s="31">
        <f t="shared" si="3"/>
        <v>0</v>
      </c>
      <c r="CL17" s="12"/>
      <c r="CM17" s="31">
        <f t="shared" si="4"/>
        <v>0</v>
      </c>
      <c r="CR17" s="12"/>
      <c r="CS17" s="31">
        <f t="shared" si="5"/>
        <v>0</v>
      </c>
      <c r="CY17" s="31">
        <f t="shared" si="6"/>
        <v>0</v>
      </c>
      <c r="DE17" s="31">
        <f t="shared" si="7"/>
        <v>0</v>
      </c>
      <c r="DK17" s="31"/>
      <c r="DM17" s="13"/>
      <c r="DN17" s="13"/>
      <c r="DO17" s="13"/>
      <c r="DP17" s="13"/>
      <c r="DQ17" s="261"/>
      <c r="DS17" s="13"/>
      <c r="DT17" s="13"/>
      <c r="DU17" s="13"/>
      <c r="DV17" s="13"/>
      <c r="DW17" s="261"/>
    </row>
    <row r="18" spans="1:127" s="74" customFormat="1" ht="12.75" customHeight="1" x14ac:dyDescent="0.2">
      <c r="A18" s="11" t="s">
        <v>87</v>
      </c>
      <c r="B18" s="11"/>
      <c r="C18" s="11">
        <v>-1.6107382550335569</v>
      </c>
      <c r="D18" s="11">
        <v>-1.6107382550335569</v>
      </c>
      <c r="E18" s="11">
        <v>-1.8791946308724832</v>
      </c>
      <c r="F18" s="11">
        <v>-4.1610738255033555</v>
      </c>
      <c r="G18" s="31">
        <f>SUM(C18:F18)</f>
        <v>-9.2617449664429525</v>
      </c>
      <c r="H18" s="11"/>
      <c r="I18" s="11">
        <v>-5.1006711409395971</v>
      </c>
      <c r="J18" s="11">
        <v>-2.8187919463087248</v>
      </c>
      <c r="K18" s="11">
        <v>-3.4899328859060401</v>
      </c>
      <c r="L18" s="11">
        <v>-1.2080536912751678</v>
      </c>
      <c r="M18" s="31">
        <f>SUM(I18:L18)</f>
        <v>-12.617449664429531</v>
      </c>
      <c r="N18" s="11"/>
      <c r="O18" s="11">
        <v>-3.087248322147651</v>
      </c>
      <c r="P18" s="11">
        <v>-6.8456375838926169</v>
      </c>
      <c r="Q18" s="11">
        <v>-3.6241610738255035</v>
      </c>
      <c r="R18" s="11">
        <v>-6.174496644295302</v>
      </c>
      <c r="S18" s="31">
        <f>SUM(O18:R18)</f>
        <v>-19.731543624161073</v>
      </c>
      <c r="T18" s="11"/>
      <c r="U18" s="11">
        <v>-6.8456375838926169</v>
      </c>
      <c r="V18" s="11">
        <v>-4.8322147651006713</v>
      </c>
      <c r="W18" s="11">
        <v>-2.1476510067114094</v>
      </c>
      <c r="X18" s="11">
        <v>-5.9060402684563753</v>
      </c>
      <c r="Y18" s="31">
        <f>SUM(U18:X18)</f>
        <v>-19.731543624161073</v>
      </c>
      <c r="Z18" s="11"/>
      <c r="AA18" s="11">
        <v>-5.2348993288590604</v>
      </c>
      <c r="AB18" s="12">
        <v>-5.5033557046979862</v>
      </c>
      <c r="AC18" s="11">
        <v>-4.8322147651006713</v>
      </c>
      <c r="AD18" s="11">
        <v>-1.3422818791946309</v>
      </c>
      <c r="AE18" s="31">
        <f>SUM(AA18:AD18)</f>
        <v>-16.912751677852349</v>
      </c>
      <c r="AG18" s="11">
        <v>-3.4899328859060401</v>
      </c>
      <c r="AH18" s="11">
        <v>-5.2348993288590604</v>
      </c>
      <c r="AI18" s="11">
        <v>-3.4899328859060401</v>
      </c>
      <c r="AJ18" s="11">
        <v>-8.4563758389261743</v>
      </c>
      <c r="AK18" s="31">
        <f>SUM(AG18:AJ18)</f>
        <v>-20.671140939597315</v>
      </c>
      <c r="AM18" s="11">
        <v>-3.8926174496644292</v>
      </c>
      <c r="AN18" s="11">
        <v>-5.1006711409395971</v>
      </c>
      <c r="AO18" s="11">
        <v>-4.9664429530201337</v>
      </c>
      <c r="AP18" s="11">
        <v>-6.9798657718120802</v>
      </c>
      <c r="AQ18" s="31">
        <f>SUM(AM18:AP18)</f>
        <v>-20.939597315436238</v>
      </c>
      <c r="AS18" s="11">
        <v>-5.2348993288590604</v>
      </c>
      <c r="AT18" s="11">
        <v>-6.9798657718120802</v>
      </c>
      <c r="AU18" s="11">
        <v>-8.1879194630872476</v>
      </c>
      <c r="AV18" s="11">
        <v>-7.3825503355704694</v>
      </c>
      <c r="AW18" s="31">
        <f>SUM(AS18:AV18)</f>
        <v>-27.785234899328856</v>
      </c>
      <c r="AY18" s="11">
        <v>-6.9798657718120802</v>
      </c>
      <c r="AZ18" s="11">
        <v>-7.3825503355704694</v>
      </c>
      <c r="BA18" s="11">
        <v>-5.9060402684563753</v>
      </c>
      <c r="BB18" s="11">
        <v>-9.7986577181208059</v>
      </c>
      <c r="BC18" s="31">
        <f>SUM(AY18:BB18)</f>
        <v>-30.067114093959731</v>
      </c>
      <c r="BE18" s="11">
        <v>-5.9060402684563753</v>
      </c>
      <c r="BF18" s="11">
        <v>-8.1879194630872476</v>
      </c>
      <c r="BG18" s="11">
        <v>-7.2483221476510069</v>
      </c>
      <c r="BH18" s="11">
        <v>-8.3221476510067109</v>
      </c>
      <c r="BI18" s="31">
        <f>SUM(BE18:BH18)</f>
        <v>-29.664429530201339</v>
      </c>
      <c r="BK18" s="11">
        <v>-7.3825503355704694</v>
      </c>
      <c r="BL18" s="11">
        <v>-6.4429530201342278</v>
      </c>
      <c r="BM18" s="11">
        <v>-6.7114093959731544</v>
      </c>
      <c r="BN18" s="11">
        <v>-9.1999999999999993</v>
      </c>
      <c r="BO18" s="31">
        <f>SUM(BK18:BN18)</f>
        <v>-29.736912751677853</v>
      </c>
      <c r="BQ18" s="11">
        <v>-7</v>
      </c>
      <c r="BR18" s="11">
        <v>-10.9</v>
      </c>
      <c r="BS18" s="11">
        <v>-10.8</v>
      </c>
      <c r="BT18" s="11">
        <v>-9.8000000000000007</v>
      </c>
      <c r="BU18" s="31">
        <f>SUM(BQ18:BT18)</f>
        <v>-38.5</v>
      </c>
      <c r="BW18" s="11">
        <v>-9.4</v>
      </c>
      <c r="BX18" s="11">
        <f>-8.6-3.9</f>
        <v>-12.5</v>
      </c>
      <c r="BY18" s="11">
        <v>-12.1</v>
      </c>
      <c r="BZ18" s="12">
        <f>-15.4+5.6</f>
        <v>-9.8000000000000007</v>
      </c>
      <c r="CA18" s="31">
        <f t="shared" si="2"/>
        <v>-43.8</v>
      </c>
      <c r="CC18" s="11">
        <v>-4.7</v>
      </c>
      <c r="CD18" s="11">
        <v>-8.5</v>
      </c>
      <c r="CE18" s="11">
        <v>-4.7</v>
      </c>
      <c r="CF18" s="12">
        <v>-15.7</v>
      </c>
      <c r="CG18" s="31">
        <f t="shared" si="3"/>
        <v>-33.599999999999994</v>
      </c>
      <c r="CI18" s="11">
        <v>-5.4</v>
      </c>
      <c r="CJ18" s="11">
        <v>-10.6</v>
      </c>
      <c r="CK18" s="11">
        <v>-9.8000000000000007</v>
      </c>
      <c r="CL18" s="12">
        <v>-10</v>
      </c>
      <c r="CM18" s="31">
        <f t="shared" si="4"/>
        <v>-35.799999999999997</v>
      </c>
      <c r="CO18" s="11">
        <v>-8.9</v>
      </c>
      <c r="CP18" s="11">
        <v>-11.9</v>
      </c>
      <c r="CQ18" s="11">
        <v>-8.8000000000000007</v>
      </c>
      <c r="CR18" s="12">
        <v>-12.7</v>
      </c>
      <c r="CS18" s="31">
        <f t="shared" si="5"/>
        <v>-42.3</v>
      </c>
      <c r="CU18" s="11">
        <v>-8.8000000000000007</v>
      </c>
      <c r="CV18" s="11">
        <v>-8</v>
      </c>
      <c r="CW18" s="11">
        <v>-9.1999999999999993</v>
      </c>
      <c r="CX18" s="11">
        <v>-10.5</v>
      </c>
      <c r="CY18" s="31">
        <f t="shared" si="6"/>
        <v>-36.5</v>
      </c>
      <c r="DA18" s="11">
        <v>-7.2</v>
      </c>
      <c r="DB18" s="11">
        <v>-6.8</v>
      </c>
      <c r="DC18" s="11">
        <v>-7.9</v>
      </c>
      <c r="DD18" s="11">
        <v>-13.1</v>
      </c>
      <c r="DE18" s="31">
        <f t="shared" si="7"/>
        <v>-35</v>
      </c>
      <c r="DG18" s="11">
        <v>-8</v>
      </c>
      <c r="DH18" s="11">
        <v>-8.1</v>
      </c>
      <c r="DI18" s="11">
        <v>-7.6</v>
      </c>
      <c r="DJ18" s="11">
        <f t="shared" si="8"/>
        <v>-9.6999999999999957</v>
      </c>
      <c r="DK18" s="31">
        <v>-33.4</v>
      </c>
      <c r="DM18" s="13">
        <v>-6</v>
      </c>
      <c r="DN18" s="13">
        <v>-5</v>
      </c>
      <c r="DO18" s="13">
        <v>-6</v>
      </c>
      <c r="DP18" s="13">
        <v>-15</v>
      </c>
      <c r="DQ18" s="261">
        <f>+DM18+DN18+DO18+DP18</f>
        <v>-32</v>
      </c>
      <c r="DS18" s="13">
        <v>-9</v>
      </c>
      <c r="DT18" s="13">
        <v>-13</v>
      </c>
      <c r="DU18" s="13">
        <v>-14</v>
      </c>
      <c r="DV18" s="13"/>
      <c r="DW18" s="261">
        <f>+DS18+DT18+DU18+DV18</f>
        <v>-36</v>
      </c>
    </row>
    <row r="19" spans="1:127" s="90" customFormat="1" x14ac:dyDescent="0.2">
      <c r="A19" s="88" t="s">
        <v>122</v>
      </c>
      <c r="B19" s="88"/>
      <c r="C19" s="88">
        <f>SUM(C13:C18)</f>
        <v>3.2214765100671143</v>
      </c>
      <c r="D19" s="88">
        <f>SUM(D13:D18)</f>
        <v>-3.624161073825503</v>
      </c>
      <c r="E19" s="88">
        <f>SUM(E13:E18)</f>
        <v>-9.3959731543624159</v>
      </c>
      <c r="F19" s="88">
        <f>SUM(F13:F18)</f>
        <v>-5.9060402684563753</v>
      </c>
      <c r="G19" s="89">
        <f>SUM(G13:G18)</f>
        <v>-15.70469798657718</v>
      </c>
      <c r="H19" s="88"/>
      <c r="I19" s="88">
        <f>SUM(I13:I18)</f>
        <v>-15.436241610738254</v>
      </c>
      <c r="J19" s="88">
        <f>SUM(J13:J18)</f>
        <v>20.805369127516776</v>
      </c>
      <c r="K19" s="88">
        <f>SUM(K13:K18)</f>
        <v>-17.449664429530202</v>
      </c>
      <c r="L19" s="88">
        <f>SUM(L13:L18)</f>
        <v>-14.093959731543624</v>
      </c>
      <c r="M19" s="89">
        <f>SUM(M13:M18)</f>
        <v>-26.174496644295303</v>
      </c>
      <c r="N19" s="88"/>
      <c r="O19" s="88">
        <f>SUM(O13:O18)</f>
        <v>-138.12080536912751</v>
      </c>
      <c r="P19" s="88">
        <f>SUM(P13:P18)</f>
        <v>-32.080536912751676</v>
      </c>
      <c r="Q19" s="88">
        <f>SUM(Q13:Q18)</f>
        <v>-54.765100671140942</v>
      </c>
      <c r="R19" s="88">
        <f>SUM(R13:R18)</f>
        <v>-29.395973154362416</v>
      </c>
      <c r="S19" s="89">
        <f>SUM(S13:S18)</f>
        <v>-254.36241610738253</v>
      </c>
      <c r="T19" s="88"/>
      <c r="U19" s="88">
        <f>SUM(U13:U18)</f>
        <v>8.724832214765101</v>
      </c>
      <c r="V19" s="88">
        <f>SUM(V13:V18)</f>
        <v>-38.120805369127517</v>
      </c>
      <c r="W19" s="88">
        <f>SUM(W13:W18)</f>
        <v>-28.053691275167782</v>
      </c>
      <c r="X19" s="88">
        <f>SUM(X13:X18)</f>
        <v>-46.711409395973149</v>
      </c>
      <c r="Y19" s="89">
        <f>SUM(Y13:Y18)</f>
        <v>-104.16107382550335</v>
      </c>
      <c r="Z19" s="88"/>
      <c r="AA19" s="88">
        <f>SUM(AA13:AA18)</f>
        <v>-27.516778523489933</v>
      </c>
      <c r="AB19" s="88">
        <f>SUM(AB13:AB18)</f>
        <v>-39.731543624161077</v>
      </c>
      <c r="AC19" s="88">
        <f>SUM(AC13:AC18)</f>
        <v>-37.986577181208055</v>
      </c>
      <c r="AD19" s="88">
        <f>SUM(AD13:AD18)</f>
        <v>-32.751677852348998</v>
      </c>
      <c r="AE19" s="89">
        <f>SUM(AE13:AE18)</f>
        <v>-137.98657718120805</v>
      </c>
      <c r="AG19" s="88">
        <f>SUM(AG13:AG18)</f>
        <v>-43.087248322147651</v>
      </c>
      <c r="AH19" s="88">
        <f>SUM(AH13:AH18)</f>
        <v>-18.389261744966444</v>
      </c>
      <c r="AI19" s="88">
        <f>SUM(AI13:AI18)</f>
        <v>-21.879194630872483</v>
      </c>
      <c r="AJ19" s="88">
        <f>SUM(AJ13:AJ18)</f>
        <v>-30.604026845637584</v>
      </c>
      <c r="AK19" s="89">
        <f>SUM(AK13:AK18)</f>
        <v>-113.95973154362417</v>
      </c>
      <c r="AM19" s="88">
        <f>SUM(AM13:AM18)</f>
        <v>-31.140939597315434</v>
      </c>
      <c r="AN19" s="88">
        <f>SUM(AN13:AN18)</f>
        <v>-25.234899328859058</v>
      </c>
      <c r="AO19" s="88">
        <f>SUM(AO13:AO18)</f>
        <v>-26.174496644295303</v>
      </c>
      <c r="AP19" s="88">
        <f>SUM(AP13:AP18)</f>
        <v>-25.771812080536911</v>
      </c>
      <c r="AQ19" s="89">
        <f>SUM(AQ13:AQ18)</f>
        <v>-108.3221476510067</v>
      </c>
      <c r="AS19" s="88">
        <f>SUM(AS13:AS18)</f>
        <v>-17.986577181208052</v>
      </c>
      <c r="AT19" s="88">
        <f>SUM(AT13:AT18)</f>
        <v>-15.973154362416107</v>
      </c>
      <c r="AU19" s="88">
        <f>SUM(AU13:AU18)</f>
        <v>-15.70469798657718</v>
      </c>
      <c r="AV19" s="88">
        <f>SUM(AV13:AV18)</f>
        <v>-21.744966442953018</v>
      </c>
      <c r="AW19" s="89">
        <f>SUM(AW13:AW18)</f>
        <v>-71.409395973154361</v>
      </c>
      <c r="AY19" s="88">
        <f>SUM(AY13:AY18)</f>
        <v>-15.167785234899327</v>
      </c>
      <c r="AZ19" s="88">
        <f>SUM(AZ13:AZ18)</f>
        <v>-15.033557046979865</v>
      </c>
      <c r="BA19" s="88">
        <f>SUM(BA13:BA18)</f>
        <v>-43.758389261744966</v>
      </c>
      <c r="BB19" s="88">
        <f>SUM(BB13:BB18)</f>
        <v>-19.194630872483224</v>
      </c>
      <c r="BC19" s="89">
        <f>SUM(BC13:BC18)</f>
        <v>-93.154362416107375</v>
      </c>
      <c r="BE19" s="88">
        <f>SUM(BE13:BE18)</f>
        <v>-1.6107382550335574</v>
      </c>
      <c r="BF19" s="88">
        <f>SUM(BF13:BF18)</f>
        <v>-14.765100671140939</v>
      </c>
      <c r="BG19" s="88">
        <f>SUM(BG13:BG18)</f>
        <v>-16.644295302013422</v>
      </c>
      <c r="BH19" s="88">
        <f>SUM(BH13:BH18)</f>
        <v>-17.449664429530202</v>
      </c>
      <c r="BI19" s="89">
        <f>SUM(BI13:BI18)</f>
        <v>-50.469798657718115</v>
      </c>
      <c r="BK19" s="88">
        <f>SUM(BK13:BK18)</f>
        <v>-12.483221476510067</v>
      </c>
      <c r="BL19" s="88">
        <f>SUM(BL13:BL18)</f>
        <v>-29.798657718120801</v>
      </c>
      <c r="BM19" s="88">
        <f>SUM(BM13:BM18)</f>
        <v>-12.751677852348994</v>
      </c>
      <c r="BN19" s="88">
        <f>SUM(BN13:BN18)</f>
        <v>-34.900000000000006</v>
      </c>
      <c r="BO19" s="89">
        <f>SUM(BO13:BO18)</f>
        <v>-89.933557046979871</v>
      </c>
      <c r="BQ19" s="88">
        <f>SUM(BQ13:BQ18)</f>
        <v>-70.400000000000006</v>
      </c>
      <c r="BR19" s="88">
        <f>SUM(BR13:BR18)</f>
        <v>-17.5</v>
      </c>
      <c r="BS19" s="88">
        <f>SUM(BS13:BS18)</f>
        <v>-20.5</v>
      </c>
      <c r="BT19" s="88">
        <f>SUM(BT13:BT18)</f>
        <v>-18.400000000000002</v>
      </c>
      <c r="BU19" s="89">
        <f>SUM(BU13:BU18)</f>
        <v>-126.8</v>
      </c>
      <c r="BW19" s="88">
        <f>SUM(BW13:BW18)</f>
        <v>-655.9</v>
      </c>
      <c r="BX19" s="88">
        <f>SUM(BX13:BX18)</f>
        <v>-153.6</v>
      </c>
      <c r="BY19" s="88">
        <f>SUM(BY13:BY18)</f>
        <v>-32</v>
      </c>
      <c r="BZ19" s="148">
        <f>SUM(BZ13:BZ18)</f>
        <v>359.40000000000003</v>
      </c>
      <c r="CA19" s="89">
        <f>SUM(CA13:CA18)</f>
        <v>-482.10000000000008</v>
      </c>
      <c r="CC19" s="88">
        <f>SUM(CC13:CC18)</f>
        <v>-9.6000000000000014</v>
      </c>
      <c r="CD19" s="88">
        <f>SUM(CD13:CD18)</f>
        <v>-13.399999999999999</v>
      </c>
      <c r="CE19" s="88">
        <f>SUM(CE13:CE18)</f>
        <v>-11</v>
      </c>
      <c r="CF19" s="148">
        <f>SUM(CF13:CF18)</f>
        <v>-26.9</v>
      </c>
      <c r="CG19" s="89">
        <f>SUM(CG13:CG18)</f>
        <v>-60.9</v>
      </c>
      <c r="CI19" s="88">
        <f>SUM(CI13:CI18)</f>
        <v>-9.9999999999999645E-2</v>
      </c>
      <c r="CJ19" s="88">
        <f>SUM(CJ13:CJ18)</f>
        <v>-22.7</v>
      </c>
      <c r="CK19" s="88">
        <f>SUM(CK13:CK18)</f>
        <v>-17.3</v>
      </c>
      <c r="CL19" s="88">
        <f>SUM(CL13:CL18)</f>
        <v>-26.7</v>
      </c>
      <c r="CM19" s="89">
        <f>SUM(CM13:CM18)</f>
        <v>-66.8</v>
      </c>
      <c r="CO19" s="88">
        <f>SUM(CO13:CO18)</f>
        <v>-14.4</v>
      </c>
      <c r="CP19" s="88">
        <f>SUM(CP13:CP18)</f>
        <v>-21.3</v>
      </c>
      <c r="CQ19" s="88">
        <f>SUM(CQ13:CQ18)</f>
        <v>-17.899999999999999</v>
      </c>
      <c r="CR19" s="88">
        <f>SUM(CR13:CR18)</f>
        <v>-53.8</v>
      </c>
      <c r="CS19" s="89">
        <f>SUM(CS13:CS18)</f>
        <v>-107.39999999999999</v>
      </c>
      <c r="CU19" s="88">
        <f>SUM(CU13:CU18)</f>
        <v>-29.599999999999998</v>
      </c>
      <c r="CV19" s="88">
        <f>SUM(CV13:CV18)</f>
        <v>-55.7</v>
      </c>
      <c r="CW19" s="88">
        <f>SUM(CW13:CW18)</f>
        <v>-47.3</v>
      </c>
      <c r="CX19" s="88">
        <f>SUM(CX13:CX18)</f>
        <v>-92.9</v>
      </c>
      <c r="CY19" s="89">
        <f>SUM(CY13:CY18)</f>
        <v>-225.5</v>
      </c>
      <c r="DA19" s="88">
        <f>SUM(DA13:DA18)</f>
        <v>-53.600000000000009</v>
      </c>
      <c r="DB19" s="88">
        <f>SUM(DB13:DB18)</f>
        <v>-49.3</v>
      </c>
      <c r="DC19" s="88">
        <f>SUM(DC13:DC18)</f>
        <v>-41</v>
      </c>
      <c r="DD19" s="88">
        <f>SUM(DD13:DD18)</f>
        <v>-60.9</v>
      </c>
      <c r="DE19" s="89">
        <f>SUM(DE13:DE18)</f>
        <v>-204.8</v>
      </c>
      <c r="DG19" s="88">
        <f>SUM(DG13:DG18)</f>
        <v>-31</v>
      </c>
      <c r="DH19" s="88">
        <f>SUM(DH13:DH18)</f>
        <v>-39.5</v>
      </c>
      <c r="DI19" s="88">
        <f>SUM(DI13:DI18)</f>
        <v>-59.9</v>
      </c>
      <c r="DJ19" s="88">
        <f>SUM(DJ14:DJ18)</f>
        <v>-116.6</v>
      </c>
      <c r="DK19" s="89">
        <v>-247</v>
      </c>
      <c r="DM19" s="262">
        <f>SUM(DM13:DM18)</f>
        <v>-64</v>
      </c>
      <c r="DN19" s="262">
        <f>SUM(DN13:DN18)</f>
        <v>-244</v>
      </c>
      <c r="DO19" s="262">
        <f>SUM(DO13:DO18)</f>
        <v>-115</v>
      </c>
      <c r="DP19" s="262">
        <f>SUM(DP14:DP18)</f>
        <v>-216</v>
      </c>
      <c r="DQ19" s="263">
        <f>+SUM(DQ13:DQ18)</f>
        <v>-639</v>
      </c>
      <c r="DS19" s="262">
        <f>SUM(DS13:DS18)</f>
        <v>-167</v>
      </c>
      <c r="DT19" s="262">
        <f>SUM(DT13:DT18)</f>
        <v>-174</v>
      </c>
      <c r="DU19" s="262">
        <f>SUM(DU13:DU18)</f>
        <v>-170</v>
      </c>
      <c r="DV19" s="262"/>
      <c r="DW19" s="263">
        <f>+SUM(DW13:DW18)</f>
        <v>-511</v>
      </c>
    </row>
    <row r="20" spans="1:127" s="93" customFormat="1" ht="18.75" customHeight="1" x14ac:dyDescent="0.2">
      <c r="A20" s="91"/>
      <c r="B20" s="91"/>
      <c r="C20" s="91"/>
      <c r="D20" s="91"/>
      <c r="E20" s="91"/>
      <c r="F20" s="91"/>
      <c r="G20" s="92"/>
      <c r="H20" s="91"/>
      <c r="I20" s="91"/>
      <c r="J20" s="91"/>
      <c r="K20" s="91"/>
      <c r="L20" s="91"/>
      <c r="M20" s="92"/>
      <c r="N20" s="91"/>
      <c r="O20" s="91"/>
      <c r="P20" s="91"/>
      <c r="Q20" s="91"/>
      <c r="R20" s="91"/>
      <c r="S20" s="92"/>
      <c r="T20" s="91"/>
      <c r="U20" s="91"/>
      <c r="V20" s="91"/>
      <c r="W20" s="91"/>
      <c r="X20" s="91"/>
      <c r="Y20" s="92"/>
      <c r="Z20" s="91"/>
      <c r="AA20" s="91"/>
      <c r="AB20" s="91"/>
      <c r="AC20" s="91"/>
      <c r="AD20" s="91"/>
      <c r="AE20" s="92"/>
      <c r="AG20" s="91"/>
      <c r="AH20" s="91"/>
      <c r="AI20" s="91"/>
      <c r="AJ20" s="91"/>
      <c r="AK20" s="92"/>
      <c r="AM20" s="91"/>
      <c r="AN20" s="91"/>
      <c r="AO20" s="91"/>
      <c r="AP20" s="91"/>
      <c r="AQ20" s="92"/>
      <c r="AS20" s="91"/>
      <c r="AT20" s="91"/>
      <c r="AU20" s="91"/>
      <c r="AV20" s="91"/>
      <c r="AW20" s="92"/>
      <c r="AY20" s="91"/>
      <c r="AZ20" s="91"/>
      <c r="BA20" s="91"/>
      <c r="BB20" s="91"/>
      <c r="BC20" s="92"/>
      <c r="BE20" s="91"/>
      <c r="BF20" s="91"/>
      <c r="BG20" s="91"/>
      <c r="BH20" s="91"/>
      <c r="BI20" s="92"/>
      <c r="BK20" s="91"/>
      <c r="BL20" s="91"/>
      <c r="BM20" s="91"/>
      <c r="BN20" s="91"/>
      <c r="BO20" s="92"/>
      <c r="BQ20" s="91"/>
      <c r="BR20" s="91"/>
      <c r="BS20" s="91"/>
      <c r="BT20" s="91"/>
      <c r="BU20" s="92"/>
      <c r="BW20" s="91"/>
      <c r="BX20" s="91"/>
      <c r="BY20" s="91"/>
      <c r="BZ20" s="149"/>
      <c r="CA20" s="92"/>
      <c r="CC20" s="91"/>
      <c r="CD20" s="91"/>
      <c r="CE20" s="91"/>
      <c r="CF20" s="149"/>
      <c r="CG20" s="92"/>
      <c r="CI20" s="91"/>
      <c r="CJ20" s="91"/>
      <c r="CK20" s="91"/>
      <c r="CL20" s="149"/>
      <c r="CM20" s="92"/>
      <c r="CO20" s="91"/>
      <c r="CP20" s="91"/>
      <c r="CQ20" s="91"/>
      <c r="CR20" s="149"/>
      <c r="CS20" s="92"/>
      <c r="CU20" s="91"/>
      <c r="CV20" s="91"/>
      <c r="CW20" s="91"/>
      <c r="CX20" s="91"/>
      <c r="CY20" s="92"/>
      <c r="DA20" s="91"/>
      <c r="DB20" s="91"/>
      <c r="DC20" s="91"/>
      <c r="DD20" s="91"/>
      <c r="DE20" s="92"/>
      <c r="DG20" s="91"/>
      <c r="DH20" s="91"/>
      <c r="DI20" s="91"/>
      <c r="DJ20" s="91"/>
      <c r="DK20" s="92"/>
      <c r="DM20" s="264"/>
      <c r="DN20" s="264"/>
      <c r="DO20" s="264"/>
      <c r="DP20" s="264"/>
      <c r="DQ20" s="265"/>
      <c r="DS20" s="264"/>
      <c r="DT20" s="264"/>
      <c r="DU20" s="264"/>
      <c r="DV20" s="264"/>
      <c r="DW20" s="265"/>
    </row>
    <row r="21" spans="1:127" x14ac:dyDescent="0.2">
      <c r="A21" s="74" t="s">
        <v>178</v>
      </c>
      <c r="B21" s="74"/>
      <c r="C21" s="74">
        <f>C11+C19</f>
        <v>-22.013422818791945</v>
      </c>
      <c r="D21" s="74">
        <f>D11+D19</f>
        <v>-0.93959731543623981</v>
      </c>
      <c r="E21" s="74">
        <f>E11+E19</f>
        <v>-2.0134228187919447</v>
      </c>
      <c r="F21" s="74">
        <f>F11+F19</f>
        <v>14.765100671140939</v>
      </c>
      <c r="G21" s="31">
        <f>G11+G19</f>
        <v>-10.201342281879199</v>
      </c>
      <c r="H21" s="74"/>
      <c r="I21" s="74">
        <f>I11+I19</f>
        <v>-44.429530201342281</v>
      </c>
      <c r="J21" s="74">
        <f>J11+J19</f>
        <v>31.409395973154361</v>
      </c>
      <c r="K21" s="74">
        <f>K11+K19</f>
        <v>7.5167785234899327</v>
      </c>
      <c r="L21" s="74">
        <f>L11+L19</f>
        <v>14.8993288590604</v>
      </c>
      <c r="M21" s="31">
        <f>M11+M19</f>
        <v>9.395973154362423</v>
      </c>
      <c r="N21" s="74"/>
      <c r="O21" s="74">
        <f>O11+O19</f>
        <v>-131.40939597315435</v>
      </c>
      <c r="P21" s="74">
        <f>P11+P19</f>
        <v>-13.288590604026844</v>
      </c>
      <c r="Q21" s="74">
        <f>Q11+Q19</f>
        <v>2.2818791946308679</v>
      </c>
      <c r="R21" s="74">
        <f>R11+R19</f>
        <v>44.026845637583897</v>
      </c>
      <c r="S21" s="31">
        <f>S11+S19</f>
        <v>-98.389261744966433</v>
      </c>
      <c r="T21" s="74"/>
      <c r="U21" s="74">
        <f>U11+U19</f>
        <v>-24.832214765100673</v>
      </c>
      <c r="V21" s="74">
        <f>V11+V19</f>
        <v>-41.208053691275168</v>
      </c>
      <c r="W21" s="74">
        <f>W11+W19</f>
        <v>-4.0268456375838895</v>
      </c>
      <c r="X21" s="74">
        <f>X11+X19</f>
        <v>68.322147651006716</v>
      </c>
      <c r="Y21" s="31">
        <f>Y11+Y19</f>
        <v>-1.7449664429530003</v>
      </c>
      <c r="Z21" s="74"/>
      <c r="AA21" s="74">
        <f>AA11+AA19</f>
        <v>-5.060402684563762</v>
      </c>
      <c r="AB21" s="74">
        <f>AB11+AB19</f>
        <v>-36.912751677852349</v>
      </c>
      <c r="AC21" s="74">
        <f>AC11+AC19</f>
        <v>-10.738255033557049</v>
      </c>
      <c r="AD21" s="74">
        <f>AD11+AD19</f>
        <v>-7.114093959731548</v>
      </c>
      <c r="AE21" s="31">
        <f>AE11+AE19</f>
        <v>-59.825503355704683</v>
      </c>
      <c r="AG21" s="74">
        <f>AG11+AG19</f>
        <v>-72.75167785234899</v>
      </c>
      <c r="AH21" s="74">
        <f>AH11+AH19</f>
        <v>-53.691275167785236</v>
      </c>
      <c r="AI21" s="74">
        <f>AI11+AI19</f>
        <v>-42.013422818791945</v>
      </c>
      <c r="AJ21" s="74">
        <f>AJ11+AJ19</f>
        <v>4.2953020134228197</v>
      </c>
      <c r="AK21" s="31">
        <f>AK11+AK19</f>
        <v>-164.16107382550334</v>
      </c>
      <c r="AM21" s="74">
        <f>AM11+AM19</f>
        <v>-91.946308724832207</v>
      </c>
      <c r="AN21" s="74">
        <f>AN11+AN19</f>
        <v>-15.570469798657715</v>
      </c>
      <c r="AO21" s="74">
        <f>AO11+AO19</f>
        <v>27.382550335570471</v>
      </c>
      <c r="AP21" s="74">
        <f>AP11+AP19</f>
        <v>46.711409395973156</v>
      </c>
      <c r="AQ21" s="31">
        <f>AQ11+AQ19</f>
        <v>-33.422818791946284</v>
      </c>
      <c r="AS21" s="74">
        <f>AS11+AS19</f>
        <v>-14.362416107382547</v>
      </c>
      <c r="AT21" s="74">
        <f>AT11+AT19</f>
        <v>-7.1140939597315427</v>
      </c>
      <c r="AU21" s="74">
        <f>AU11+AU19</f>
        <v>-11.677852348993291</v>
      </c>
      <c r="AV21" s="74">
        <f>AV11+AV19</f>
        <v>112.34899328859062</v>
      </c>
      <c r="AW21" s="31">
        <f>AW11+AW19</f>
        <v>79.194630872483216</v>
      </c>
      <c r="AY21" s="74">
        <f>AY11+AY19</f>
        <v>-85.100671140939596</v>
      </c>
      <c r="AZ21" s="74">
        <f>AZ11+AZ19</f>
        <v>-16.375838926174495</v>
      </c>
      <c r="BA21" s="74">
        <f>BA11+BA19</f>
        <v>4.0268456375838895</v>
      </c>
      <c r="BB21" s="74">
        <f>BB11+BB19</f>
        <v>77.449664429530202</v>
      </c>
      <c r="BC21" s="31">
        <f>BC11+BC19</f>
        <v>-20</v>
      </c>
      <c r="BE21" s="74">
        <f>BE11+BE19</f>
        <v>25.100671140939596</v>
      </c>
      <c r="BF21" s="74">
        <f>BF11+BF19</f>
        <v>-0.13422818791946511</v>
      </c>
      <c r="BG21" s="74">
        <f>BG11+BG19</f>
        <v>0.67114093959731846</v>
      </c>
      <c r="BH21" s="74">
        <f>BH11+BH19</f>
        <v>136.37583892617451</v>
      </c>
      <c r="BI21" s="31">
        <f>BI11+BI19</f>
        <v>162.01342281879192</v>
      </c>
      <c r="BK21" s="74">
        <f>BK11+BK19</f>
        <v>0.26845637583892668</v>
      </c>
      <c r="BL21" s="74">
        <f>BL11+BL19</f>
        <v>-24.429530201342281</v>
      </c>
      <c r="BM21" s="74">
        <f>BM11+BM19</f>
        <v>22.953020134228186</v>
      </c>
      <c r="BN21" s="74">
        <f>BN11+BN19</f>
        <v>84.5</v>
      </c>
      <c r="BO21" s="31">
        <f>BO11+BO19</f>
        <v>83.291946308724846</v>
      </c>
      <c r="BQ21" s="74">
        <f>BQ11+BQ19</f>
        <v>-79.499000000000009</v>
      </c>
      <c r="BR21" s="74">
        <f>BR11+BR19</f>
        <v>11.2</v>
      </c>
      <c r="BS21" s="74">
        <f>BS11+BS19</f>
        <v>27.6</v>
      </c>
      <c r="BT21" s="74">
        <f>BT11+BT19</f>
        <v>67.8</v>
      </c>
      <c r="BU21" s="31">
        <f>BU11+BU19</f>
        <v>27.100999999999985</v>
      </c>
      <c r="BW21" s="74">
        <f>BW11+BW19</f>
        <v>-694.3</v>
      </c>
      <c r="BX21" s="74">
        <f>BX11+BX19</f>
        <v>-136.79999999999998</v>
      </c>
      <c r="BY21" s="74">
        <f>BY11+BY19</f>
        <v>14.700000000000003</v>
      </c>
      <c r="BZ21" s="150">
        <f>BZ11+BZ19</f>
        <v>422.1</v>
      </c>
      <c r="CA21" s="31">
        <f>CA11+CA19</f>
        <v>-394.30000000000007</v>
      </c>
      <c r="CC21" s="74">
        <f>CC11+CC19</f>
        <v>-141.4</v>
      </c>
      <c r="CD21" s="74">
        <f>CD11+CD19</f>
        <v>23</v>
      </c>
      <c r="CE21" s="74">
        <f>CE11+CE19</f>
        <v>-45.8</v>
      </c>
      <c r="CF21" s="150">
        <f>CF11+CF19</f>
        <v>61.099999999999987</v>
      </c>
      <c r="CG21" s="31">
        <f>CG11+CG19</f>
        <v>-103.10000000000001</v>
      </c>
      <c r="CI21" s="74">
        <f>CI11+CI19</f>
        <v>-54.699999999999996</v>
      </c>
      <c r="CJ21" s="74">
        <f>CJ11+CJ19</f>
        <v>0.40000000000000213</v>
      </c>
      <c r="CK21" s="74">
        <f>CK11+CK19</f>
        <v>-6.2999999999999989</v>
      </c>
      <c r="CL21" s="74">
        <f>CL11+CL19</f>
        <v>118.8</v>
      </c>
      <c r="CM21" s="31">
        <f>CM11+CM19</f>
        <v>58.200000000000017</v>
      </c>
      <c r="CO21" s="74">
        <f>CO11+CO19</f>
        <v>-135.89999999999998</v>
      </c>
      <c r="CP21" s="74">
        <f>CP11+CP19</f>
        <v>-33.099999999999994</v>
      </c>
      <c r="CQ21" s="74">
        <f>CQ11+CQ19</f>
        <v>140.80000000000001</v>
      </c>
      <c r="CR21" s="74">
        <f>CR11+CR19</f>
        <v>57.100000000000009</v>
      </c>
      <c r="CS21" s="31">
        <f>CS11+CS19</f>
        <v>28.90000000000002</v>
      </c>
      <c r="CU21" s="74">
        <f>CU11+CU19</f>
        <v>-51.9</v>
      </c>
      <c r="CV21" s="74">
        <f>CV11+CV19</f>
        <v>-155.30000000000001</v>
      </c>
      <c r="CW21" s="74">
        <f>CW11+CW19</f>
        <v>98.500000000000014</v>
      </c>
      <c r="CX21" s="74">
        <f>CX11+CX19</f>
        <v>91</v>
      </c>
      <c r="CY21" s="31">
        <f>CY11+CY19</f>
        <v>-17.699999999999989</v>
      </c>
      <c r="DA21" s="74">
        <f>DA11+DA19</f>
        <v>-94.500000000000014</v>
      </c>
      <c r="DB21" s="74">
        <f>DB11+DB19</f>
        <v>87.7</v>
      </c>
      <c r="DC21" s="74">
        <f>DC11+DC19</f>
        <v>-41.4</v>
      </c>
      <c r="DD21" s="74">
        <f>DD11+DD19</f>
        <v>141.6</v>
      </c>
      <c r="DE21" s="31">
        <f>DE11+DE19</f>
        <v>93.399999999999977</v>
      </c>
      <c r="DG21" s="74">
        <f>DG11+DG19</f>
        <v>-96.200000000000017</v>
      </c>
      <c r="DH21" s="74">
        <f>DH11+DH19</f>
        <v>281.59999999999997</v>
      </c>
      <c r="DI21" s="74">
        <f>DI11+DI19</f>
        <v>86.799999999999983</v>
      </c>
      <c r="DJ21" s="74">
        <f>DJ11+DJ19</f>
        <v>23.200000000000045</v>
      </c>
      <c r="DK21" s="31">
        <f>+DK11+DK19</f>
        <v>295.39999999999998</v>
      </c>
      <c r="DM21" s="266">
        <f>DM11+DM19</f>
        <v>-16</v>
      </c>
      <c r="DN21" s="266">
        <f>DN11+DN19</f>
        <v>398</v>
      </c>
      <c r="DO21" s="266">
        <f>DO11+DO19</f>
        <v>-134</v>
      </c>
      <c r="DP21" s="266">
        <f>DP11+DP19</f>
        <v>152</v>
      </c>
      <c r="DQ21" s="261">
        <f>+DQ11+DQ19</f>
        <v>400</v>
      </c>
      <c r="DS21" s="266">
        <f>DS11+DS19</f>
        <v>-308</v>
      </c>
      <c r="DT21" s="266">
        <f>DT11+DT19</f>
        <v>-175</v>
      </c>
      <c r="DU21" s="266">
        <f>DU11+DU19</f>
        <v>-102</v>
      </c>
      <c r="DV21" s="266"/>
      <c r="DW21" s="261">
        <f>+DW11+DW19</f>
        <v>-585</v>
      </c>
    </row>
  </sheetData>
  <mergeCells count="43">
    <mergeCell ref="CI1:CM1"/>
    <mergeCell ref="CI2:CM2"/>
    <mergeCell ref="CI3:CM3"/>
    <mergeCell ref="BW3:CA3"/>
    <mergeCell ref="BW1:CA1"/>
    <mergeCell ref="CC1:CG1"/>
    <mergeCell ref="C1:G1"/>
    <mergeCell ref="C3:G3"/>
    <mergeCell ref="AA1:AE1"/>
    <mergeCell ref="AA3:AE3"/>
    <mergeCell ref="BK1:BO1"/>
    <mergeCell ref="BK3:BO3"/>
    <mergeCell ref="AM1:AQ1"/>
    <mergeCell ref="AM3:AQ3"/>
    <mergeCell ref="I3:M3"/>
    <mergeCell ref="AG1:AK1"/>
    <mergeCell ref="AG3:AK3"/>
    <mergeCell ref="BE1:BI1"/>
    <mergeCell ref="AS1:AW1"/>
    <mergeCell ref="O1:S1"/>
    <mergeCell ref="O3:S3"/>
    <mergeCell ref="U1:Y1"/>
    <mergeCell ref="AY1:BC1"/>
    <mergeCell ref="I1:M1"/>
    <mergeCell ref="CC2:CG2"/>
    <mergeCell ref="CC3:CG3"/>
    <mergeCell ref="BW2:CA2"/>
    <mergeCell ref="U3:Y3"/>
    <mergeCell ref="BQ1:BU1"/>
    <mergeCell ref="BQ3:BU3"/>
    <mergeCell ref="AY3:BC3"/>
    <mergeCell ref="BE3:BI3"/>
    <mergeCell ref="AS3:AW3"/>
    <mergeCell ref="DA3:DE3"/>
    <mergeCell ref="CU3:CY3"/>
    <mergeCell ref="CO3:CS3"/>
    <mergeCell ref="DA2:DE2"/>
    <mergeCell ref="DS2:DW2"/>
    <mergeCell ref="DS3:DW3"/>
    <mergeCell ref="DM2:DQ2"/>
    <mergeCell ref="DM3:DQ3"/>
    <mergeCell ref="DG2:DK2"/>
    <mergeCell ref="DG3:DK3"/>
  </mergeCells>
  <phoneticPr fontId="0" type="noConversion"/>
  <pageMargins left="0.23622047244094491" right="0.27559055118110237" top="0.62992125984251968" bottom="0.98425196850393704" header="0.51181102362204722" footer="0.51181102362204722"/>
  <pageSetup paperSize="9"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49B05-209A-4519-B4E2-03097B7D8CB7}">
  <sheetPr>
    <pageSetUpPr fitToPage="1"/>
  </sheetPr>
  <dimension ref="A1:BC108"/>
  <sheetViews>
    <sheetView showGridLines="0" zoomScale="85" zoomScaleNormal="85" workbookViewId="0">
      <pane xSplit="2" ySplit="3" topLeftCell="AE64" activePane="bottomRight" state="frozen"/>
      <selection activeCell="CI1" sqref="CI1:CM1"/>
      <selection pane="topRight" activeCell="CI1" sqref="CI1:CM1"/>
      <selection pane="bottomLeft" activeCell="CI1" sqref="CI1:CM1"/>
      <selection pane="bottomRight" activeCell="AE1" sqref="AE1"/>
    </sheetView>
  </sheetViews>
  <sheetFormatPr defaultColWidth="9.140625" defaultRowHeight="12.75" x14ac:dyDescent="0.2"/>
  <cols>
    <col min="1" max="1" width="32.7109375" style="2" customWidth="1"/>
    <col min="2" max="2" width="4.7109375" style="2" customWidth="1"/>
    <col min="3" max="7" width="8.7109375" style="2" customWidth="1"/>
    <col min="8" max="8" width="4.5703125" style="2" customWidth="1"/>
    <col min="9" max="13" width="8.7109375" style="2" customWidth="1"/>
    <col min="14" max="14" width="4.5703125" style="2" customWidth="1"/>
    <col min="15" max="19" width="8.7109375" style="2" customWidth="1"/>
    <col min="20" max="20" width="3.7109375" style="2" customWidth="1"/>
    <col min="21" max="25" width="9.140625" style="2"/>
    <col min="26" max="26" width="3.7109375" style="2" customWidth="1"/>
    <col min="27" max="31" width="9.140625" style="2"/>
    <col min="32" max="32" width="3.7109375" style="2" customWidth="1"/>
    <col min="33" max="37" width="9.140625" style="2"/>
    <col min="38" max="38" width="3.7109375" style="2" customWidth="1"/>
    <col min="39" max="47" width="9.140625" style="2"/>
    <col min="48" max="48" width="10.28515625" style="10" bestFit="1" customWidth="1"/>
    <col min="49" max="53" width="9.140625" style="2"/>
    <col min="54" max="54" width="10.28515625" style="10" bestFit="1" customWidth="1"/>
    <col min="55" max="16384" width="9.140625" style="2"/>
  </cols>
  <sheetData>
    <row r="1" spans="1:55" x14ac:dyDescent="0.2">
      <c r="C1" s="312"/>
      <c r="D1" s="312"/>
      <c r="E1" s="312"/>
      <c r="F1" s="312"/>
      <c r="G1" s="312"/>
      <c r="I1" s="312"/>
      <c r="J1" s="312"/>
      <c r="K1" s="312"/>
      <c r="L1" s="312"/>
      <c r="M1" s="312"/>
      <c r="O1" s="312"/>
      <c r="P1" s="312"/>
      <c r="Q1" s="312"/>
      <c r="R1" s="312"/>
      <c r="S1" s="312"/>
      <c r="AG1" s="312" t="s">
        <v>205</v>
      </c>
      <c r="AH1" s="312"/>
      <c r="AI1" s="312"/>
      <c r="AJ1" s="312"/>
      <c r="AK1" s="312"/>
      <c r="AM1" s="312" t="s">
        <v>210</v>
      </c>
      <c r="AN1" s="312"/>
      <c r="AO1" s="312"/>
      <c r="AP1" s="312"/>
      <c r="AQ1" s="312"/>
      <c r="AS1" s="312" t="s">
        <v>210</v>
      </c>
      <c r="AT1" s="312"/>
      <c r="AU1" s="312"/>
      <c r="AV1" s="312"/>
      <c r="AW1" s="312"/>
      <c r="AY1" s="312"/>
      <c r="AZ1" s="312"/>
      <c r="BA1" s="312"/>
      <c r="BB1" s="312"/>
      <c r="BC1" s="312"/>
    </row>
    <row r="2" spans="1:55" x14ac:dyDescent="0.2">
      <c r="A2" s="1" t="s">
        <v>150</v>
      </c>
      <c r="C2" s="313">
        <v>2017</v>
      </c>
      <c r="D2" s="313"/>
      <c r="E2" s="313"/>
      <c r="F2" s="313"/>
      <c r="G2" s="313"/>
      <c r="I2" s="313">
        <v>2018</v>
      </c>
      <c r="J2" s="313"/>
      <c r="K2" s="313"/>
      <c r="L2" s="313"/>
      <c r="M2" s="313"/>
      <c r="O2" s="313">
        <v>2019</v>
      </c>
      <c r="P2" s="313"/>
      <c r="Q2" s="313"/>
      <c r="R2" s="313"/>
      <c r="S2" s="313"/>
      <c r="U2" s="313">
        <v>2020</v>
      </c>
      <c r="V2" s="313"/>
      <c r="W2" s="313"/>
      <c r="X2" s="313"/>
      <c r="Y2" s="313"/>
      <c r="AA2" s="313">
        <v>2021</v>
      </c>
      <c r="AB2" s="313"/>
      <c r="AC2" s="313"/>
      <c r="AD2" s="313"/>
      <c r="AE2" s="313"/>
      <c r="AG2" s="313">
        <v>2022</v>
      </c>
      <c r="AH2" s="313"/>
      <c r="AI2" s="313"/>
      <c r="AJ2" s="313"/>
      <c r="AK2" s="313"/>
      <c r="AM2" s="313">
        <v>2023</v>
      </c>
      <c r="AN2" s="313"/>
      <c r="AO2" s="313"/>
      <c r="AP2" s="313"/>
      <c r="AQ2" s="313"/>
      <c r="AS2" s="313">
        <v>2024</v>
      </c>
      <c r="AT2" s="313"/>
      <c r="AU2" s="313"/>
      <c r="AV2" s="313"/>
      <c r="AW2" s="313"/>
      <c r="AY2" s="313">
        <v>2025</v>
      </c>
      <c r="AZ2" s="313"/>
      <c r="BA2" s="313"/>
      <c r="BB2" s="313"/>
      <c r="BC2" s="313"/>
    </row>
    <row r="3" spans="1:55" s="126" customFormat="1" x14ac:dyDescent="0.2">
      <c r="A3" s="125" t="s">
        <v>106</v>
      </c>
      <c r="B3" s="127"/>
      <c r="C3" s="128" t="s">
        <v>9</v>
      </c>
      <c r="D3" s="128" t="s">
        <v>10</v>
      </c>
      <c r="E3" s="128" t="s">
        <v>11</v>
      </c>
      <c r="F3" s="128" t="s">
        <v>12</v>
      </c>
      <c r="G3" s="128" t="s">
        <v>13</v>
      </c>
      <c r="I3" s="128" t="s">
        <v>9</v>
      </c>
      <c r="J3" s="128" t="s">
        <v>10</v>
      </c>
      <c r="K3" s="128" t="s">
        <v>11</v>
      </c>
      <c r="L3" s="128" t="s">
        <v>12</v>
      </c>
      <c r="M3" s="128" t="s">
        <v>13</v>
      </c>
      <c r="O3" s="128" t="s">
        <v>9</v>
      </c>
      <c r="P3" s="128" t="s">
        <v>10</v>
      </c>
      <c r="Q3" s="128" t="s">
        <v>11</v>
      </c>
      <c r="R3" s="128" t="s">
        <v>12</v>
      </c>
      <c r="S3" s="128" t="s">
        <v>13</v>
      </c>
      <c r="U3" s="128" t="s">
        <v>9</v>
      </c>
      <c r="V3" s="128" t="s">
        <v>10</v>
      </c>
      <c r="W3" s="128" t="s">
        <v>11</v>
      </c>
      <c r="X3" s="128" t="s">
        <v>12</v>
      </c>
      <c r="Y3" s="128" t="s">
        <v>13</v>
      </c>
      <c r="AA3" s="128" t="s">
        <v>9</v>
      </c>
      <c r="AB3" s="128" t="s">
        <v>10</v>
      </c>
      <c r="AC3" s="128" t="s">
        <v>11</v>
      </c>
      <c r="AD3" s="128" t="s">
        <v>12</v>
      </c>
      <c r="AE3" s="128" t="s">
        <v>13</v>
      </c>
      <c r="AG3" s="128" t="s">
        <v>9</v>
      </c>
      <c r="AH3" s="128" t="s">
        <v>10</v>
      </c>
      <c r="AI3" s="128" t="s">
        <v>11</v>
      </c>
      <c r="AJ3" s="128" t="s">
        <v>12</v>
      </c>
      <c r="AK3" s="128" t="s">
        <v>13</v>
      </c>
      <c r="AM3" s="128" t="s">
        <v>9</v>
      </c>
      <c r="AN3" s="128" t="s">
        <v>10</v>
      </c>
      <c r="AO3" s="128" t="s">
        <v>11</v>
      </c>
      <c r="AP3" s="128" t="s">
        <v>12</v>
      </c>
      <c r="AQ3" s="128" t="s">
        <v>13</v>
      </c>
      <c r="AS3" s="128" t="s">
        <v>9</v>
      </c>
      <c r="AT3" s="128" t="s">
        <v>10</v>
      </c>
      <c r="AU3" s="128" t="s">
        <v>11</v>
      </c>
      <c r="AV3" s="286" t="s">
        <v>12</v>
      </c>
      <c r="AW3" s="128" t="s">
        <v>13</v>
      </c>
      <c r="AY3" s="128" t="s">
        <v>9</v>
      </c>
      <c r="AZ3" s="128" t="s">
        <v>10</v>
      </c>
      <c r="BA3" s="128" t="s">
        <v>11</v>
      </c>
      <c r="BB3" s="286" t="s">
        <v>12</v>
      </c>
      <c r="BC3" s="128" t="s">
        <v>13</v>
      </c>
    </row>
    <row r="4" spans="1:55" x14ac:dyDescent="0.2">
      <c r="G4" s="28"/>
      <c r="M4" s="28"/>
      <c r="S4" s="28"/>
      <c r="Y4" s="28"/>
      <c r="AE4" s="28"/>
      <c r="AK4" s="28"/>
      <c r="AQ4" s="28"/>
      <c r="AW4" s="28"/>
      <c r="BC4" s="28"/>
    </row>
    <row r="5" spans="1:55" x14ac:dyDescent="0.2">
      <c r="A5" s="1" t="s">
        <v>179</v>
      </c>
      <c r="G5" s="28"/>
      <c r="M5" s="28"/>
      <c r="S5" s="28"/>
      <c r="Y5" s="28"/>
      <c r="AE5" s="28"/>
      <c r="AK5" s="28"/>
      <c r="AQ5" s="28"/>
      <c r="AW5" s="28"/>
      <c r="BC5" s="28"/>
    </row>
    <row r="6" spans="1:55" ht="12.75" customHeight="1" x14ac:dyDescent="0.2">
      <c r="A6" s="2" t="s">
        <v>180</v>
      </c>
      <c r="C6" s="24">
        <v>84.6</v>
      </c>
      <c r="D6" s="24">
        <v>177.6</v>
      </c>
      <c r="E6" s="24">
        <v>214</v>
      </c>
      <c r="F6" s="94">
        <v>204</v>
      </c>
      <c r="G6" s="60">
        <f>SUM(C6:F6)</f>
        <v>680.2</v>
      </c>
      <c r="H6" s="24"/>
      <c r="I6" s="24">
        <v>159.6</v>
      </c>
      <c r="J6" s="24">
        <v>178.9</v>
      </c>
      <c r="K6" s="24">
        <v>176.8</v>
      </c>
      <c r="L6" s="94">
        <v>124.99999999999994</v>
      </c>
      <c r="M6" s="60">
        <f>SUM(I6:L6)</f>
        <v>640.29999999999995</v>
      </c>
      <c r="N6" s="24"/>
      <c r="O6" s="24">
        <v>101.7</v>
      </c>
      <c r="P6" s="24">
        <v>129.9</v>
      </c>
      <c r="Q6" s="24">
        <v>125.4</v>
      </c>
      <c r="R6" s="94">
        <v>165.49999999999997</v>
      </c>
      <c r="S6" s="60">
        <f>SUM(O6:R6)</f>
        <v>522.5</v>
      </c>
      <c r="U6" s="24">
        <v>143.69999999999999</v>
      </c>
      <c r="V6" s="24">
        <v>151.5</v>
      </c>
      <c r="W6" s="24">
        <v>180.6</v>
      </c>
      <c r="X6" s="94">
        <v>176.8</v>
      </c>
      <c r="Y6" s="60">
        <f>SUM(U6:X6)</f>
        <v>652.59999999999991</v>
      </c>
      <c r="AA6" s="24">
        <v>190.5</v>
      </c>
      <c r="AB6" s="24">
        <v>190.9</v>
      </c>
      <c r="AC6" s="24">
        <v>210.2</v>
      </c>
      <c r="AD6" s="94">
        <v>163.6</v>
      </c>
      <c r="AE6" s="60">
        <f>SUM(AA6:AD6)</f>
        <v>755.19999999999993</v>
      </c>
      <c r="AG6" s="24">
        <v>174.2</v>
      </c>
      <c r="AH6" s="24">
        <v>230.2</v>
      </c>
      <c r="AI6" s="24">
        <v>214</v>
      </c>
      <c r="AJ6" s="94">
        <v>248.70000000000005</v>
      </c>
      <c r="AK6" s="60">
        <f>SUM(AG6:AJ6)</f>
        <v>867.1</v>
      </c>
      <c r="AM6" s="24">
        <v>252.2</v>
      </c>
      <c r="AN6" s="24">
        <v>327.9</v>
      </c>
      <c r="AO6" s="24">
        <v>342.8</v>
      </c>
      <c r="AP6" s="94">
        <f>+AQ6-SUM(AM6:AO6)</f>
        <v>390.40000000000009</v>
      </c>
      <c r="AQ6" s="60">
        <v>1313.3</v>
      </c>
      <c r="AS6" s="4">
        <v>368</v>
      </c>
      <c r="AT6" s="4">
        <v>429</v>
      </c>
      <c r="AU6" s="4">
        <v>488</v>
      </c>
      <c r="AV6" s="287">
        <v>537</v>
      </c>
      <c r="AW6" s="29">
        <f>+SUM(AS6:AV6)</f>
        <v>1822</v>
      </c>
      <c r="AY6" s="4">
        <v>442</v>
      </c>
      <c r="AZ6" s="4">
        <v>517</v>
      </c>
      <c r="BA6" s="4">
        <v>526</v>
      </c>
      <c r="BB6" s="287"/>
      <c r="BC6" s="29">
        <f>+SUM(AY6:BB6)</f>
        <v>1485</v>
      </c>
    </row>
    <row r="7" spans="1:55" ht="12.75" customHeight="1" x14ac:dyDescent="0.2">
      <c r="A7" s="2" t="s">
        <v>181</v>
      </c>
      <c r="C7" s="24">
        <v>173.5</v>
      </c>
      <c r="D7" s="24">
        <v>185.4</v>
      </c>
      <c r="E7" s="24">
        <v>165.3</v>
      </c>
      <c r="F7" s="94">
        <v>144.1</v>
      </c>
      <c r="G7" s="60">
        <f t="shared" ref="G7:G9" si="0">SUM(C7:F7)</f>
        <v>668.30000000000007</v>
      </c>
      <c r="H7" s="24"/>
      <c r="I7" s="24">
        <v>163.4</v>
      </c>
      <c r="J7" s="24">
        <v>192.3</v>
      </c>
      <c r="K7" s="24">
        <v>162.1</v>
      </c>
      <c r="L7" s="94">
        <v>159.6</v>
      </c>
      <c r="M7" s="60">
        <f t="shared" ref="M7:M9" si="1">SUM(I7:L7)</f>
        <v>677.40000000000009</v>
      </c>
      <c r="N7" s="24"/>
      <c r="O7" s="24">
        <v>156</v>
      </c>
      <c r="P7" s="24">
        <v>181.8</v>
      </c>
      <c r="Q7" s="24">
        <v>161.19999999999999</v>
      </c>
      <c r="R7" s="94">
        <v>146.29999999999995</v>
      </c>
      <c r="S7" s="60">
        <f t="shared" ref="S7:S9" si="2">SUM(O7:R7)</f>
        <v>645.29999999999995</v>
      </c>
      <c r="U7" s="24">
        <v>156.80000000000001</v>
      </c>
      <c r="V7" s="24">
        <v>179.5</v>
      </c>
      <c r="W7" s="24">
        <v>168.6</v>
      </c>
      <c r="X7" s="94">
        <v>148.69999999999999</v>
      </c>
      <c r="Y7" s="60">
        <f>SUM(U7:X7)</f>
        <v>653.59999999999991</v>
      </c>
      <c r="AA7" s="24">
        <v>184.2</v>
      </c>
      <c r="AB7" s="24">
        <v>249.2</v>
      </c>
      <c r="AC7" s="24">
        <v>232.7</v>
      </c>
      <c r="AD7" s="94">
        <v>233.9</v>
      </c>
      <c r="AE7" s="60">
        <f>SUM(AA7:AD7)</f>
        <v>899.99999999999989</v>
      </c>
      <c r="AG7" s="24">
        <v>277.3</v>
      </c>
      <c r="AH7" s="24">
        <v>309.5</v>
      </c>
      <c r="AI7" s="24">
        <v>235.6</v>
      </c>
      <c r="AJ7" s="94">
        <v>244.3</v>
      </c>
      <c r="AK7" s="60">
        <f>SUM(AG7:AJ7)</f>
        <v>1066.7</v>
      </c>
      <c r="AM7" s="24">
        <v>294.60000000000002</v>
      </c>
      <c r="AN7" s="24">
        <v>291.10000000000002</v>
      </c>
      <c r="AO7" s="24">
        <v>272.3</v>
      </c>
      <c r="AP7" s="94">
        <f t="shared" ref="AP7:AP9" si="3">+AQ7-SUM(AM7:AO7)</f>
        <v>257.90000000000009</v>
      </c>
      <c r="AQ7" s="60">
        <v>1115.9000000000001</v>
      </c>
      <c r="AS7" s="4">
        <v>278</v>
      </c>
      <c r="AT7" s="4">
        <v>322</v>
      </c>
      <c r="AU7" s="4">
        <v>325</v>
      </c>
      <c r="AV7" s="287">
        <v>312</v>
      </c>
      <c r="AW7" s="29">
        <f>+SUM(AS7:AV7)</f>
        <v>1237</v>
      </c>
      <c r="AY7" s="4">
        <v>358</v>
      </c>
      <c r="AZ7" s="4">
        <v>392</v>
      </c>
      <c r="BA7" s="4">
        <v>351</v>
      </c>
      <c r="BB7" s="287"/>
      <c r="BC7" s="29">
        <f>+SUM(AY7:BB7)</f>
        <v>1101</v>
      </c>
    </row>
    <row r="8" spans="1:55" ht="12.75" customHeight="1" x14ac:dyDescent="0.2">
      <c r="A8" s="2" t="s">
        <v>182</v>
      </c>
      <c r="C8" s="24">
        <v>16.399999999999999</v>
      </c>
      <c r="D8" s="24">
        <v>31.2</v>
      </c>
      <c r="E8" s="24">
        <v>30.3</v>
      </c>
      <c r="F8" s="94">
        <v>29</v>
      </c>
      <c r="G8" s="60">
        <f t="shared" si="0"/>
        <v>106.89999999999999</v>
      </c>
      <c r="H8" s="24"/>
      <c r="I8" s="24">
        <v>35.799999999999997</v>
      </c>
      <c r="J8" s="24">
        <v>44.7</v>
      </c>
      <c r="K8" s="24">
        <v>36.9</v>
      </c>
      <c r="L8" s="94">
        <v>36.79999999999999</v>
      </c>
      <c r="M8" s="60">
        <f t="shared" si="1"/>
        <v>154.19999999999999</v>
      </c>
      <c r="N8" s="24"/>
      <c r="O8" s="24">
        <v>26.9</v>
      </c>
      <c r="P8" s="24">
        <v>32.5</v>
      </c>
      <c r="Q8" s="24">
        <v>28.7</v>
      </c>
      <c r="R8" s="94">
        <v>30.700000000000006</v>
      </c>
      <c r="S8" s="60">
        <f t="shared" si="2"/>
        <v>118.8</v>
      </c>
      <c r="U8" s="24">
        <v>28.4</v>
      </c>
      <c r="V8" s="24">
        <v>36.200000000000003</v>
      </c>
      <c r="W8" s="24">
        <v>38.200000000000003</v>
      </c>
      <c r="X8" s="94">
        <v>38.6</v>
      </c>
      <c r="Y8" s="60">
        <f>SUM(U8:X8)</f>
        <v>141.4</v>
      </c>
      <c r="AA8" s="24">
        <v>46.1</v>
      </c>
      <c r="AB8" s="24">
        <v>65.3</v>
      </c>
      <c r="AC8" s="24">
        <v>45.6</v>
      </c>
      <c r="AD8" s="94">
        <v>49</v>
      </c>
      <c r="AE8" s="60">
        <f>SUM(AA8:AD8)</f>
        <v>206</v>
      </c>
      <c r="AG8" s="24">
        <v>43.8</v>
      </c>
      <c r="AH8" s="24">
        <v>47.2</v>
      </c>
      <c r="AI8" s="24">
        <v>56.1</v>
      </c>
      <c r="AJ8" s="94">
        <v>46.2</v>
      </c>
      <c r="AK8" s="60">
        <f>SUM(AG8:AJ8)</f>
        <v>193.3</v>
      </c>
      <c r="AM8" s="24">
        <v>47.5</v>
      </c>
      <c r="AN8" s="24">
        <v>51.7</v>
      </c>
      <c r="AO8" s="24">
        <v>47.4</v>
      </c>
      <c r="AP8" s="94">
        <f t="shared" si="3"/>
        <v>53</v>
      </c>
      <c r="AQ8" s="60">
        <v>199.6</v>
      </c>
      <c r="AS8" s="4">
        <v>74</v>
      </c>
      <c r="AT8" s="4">
        <v>64</v>
      </c>
      <c r="AU8" s="4">
        <v>60</v>
      </c>
      <c r="AV8" s="287">
        <v>60</v>
      </c>
      <c r="AW8" s="29">
        <f>+SUM(AS8:AV8)</f>
        <v>258</v>
      </c>
      <c r="AY8" s="4">
        <v>70</v>
      </c>
      <c r="AZ8" s="4">
        <v>70</v>
      </c>
      <c r="BA8" s="4">
        <v>98</v>
      </c>
      <c r="BB8" s="287"/>
      <c r="BC8" s="29">
        <f>+SUM(AY8:BB8)</f>
        <v>238</v>
      </c>
    </row>
    <row r="9" spans="1:55" ht="12.75" customHeight="1" x14ac:dyDescent="0.2">
      <c r="A9" s="2" t="s">
        <v>183</v>
      </c>
      <c r="C9" s="24">
        <v>-0.7</v>
      </c>
      <c r="D9" s="24">
        <v>-3.9</v>
      </c>
      <c r="E9" s="24">
        <v>-13</v>
      </c>
      <c r="F9" s="94">
        <v>-8.9</v>
      </c>
      <c r="G9" s="60">
        <f t="shared" si="0"/>
        <v>-26.5</v>
      </c>
      <c r="H9" s="24"/>
      <c r="I9" s="24">
        <v>-7.7</v>
      </c>
      <c r="J9" s="24">
        <v>-8.6999999999999993</v>
      </c>
      <c r="K9" s="24">
        <v>-8.8000000000000007</v>
      </c>
      <c r="L9" s="94">
        <v>-12.099999999999998</v>
      </c>
      <c r="M9" s="60">
        <f t="shared" si="1"/>
        <v>-37.299999999999997</v>
      </c>
      <c r="N9" s="24"/>
      <c r="O9" s="24">
        <v>-4.8</v>
      </c>
      <c r="P9" s="24">
        <v>-6.4</v>
      </c>
      <c r="Q9" s="24">
        <v>-6.7</v>
      </c>
      <c r="R9" s="94">
        <v>-0.49999999999999734</v>
      </c>
      <c r="S9" s="60">
        <f t="shared" si="2"/>
        <v>-18.399999999999995</v>
      </c>
      <c r="U9" s="24">
        <v>-10.5</v>
      </c>
      <c r="V9" s="24">
        <v>-8</v>
      </c>
      <c r="W9" s="24">
        <v>-10.8</v>
      </c>
      <c r="X9" s="94">
        <v>-15.8</v>
      </c>
      <c r="Y9" s="60">
        <f>SUM(U9:X9)</f>
        <v>-45.1</v>
      </c>
      <c r="AA9" s="24">
        <v>-6.8</v>
      </c>
      <c r="AB9" s="24">
        <v>-7.4</v>
      </c>
      <c r="AC9" s="24">
        <v>-8.8000000000000007</v>
      </c>
      <c r="AD9" s="94">
        <v>-10.3</v>
      </c>
      <c r="AE9" s="60">
        <f>SUM(AA9:AD9)</f>
        <v>-33.299999999999997</v>
      </c>
      <c r="AG9" s="24">
        <v>-5.8</v>
      </c>
      <c r="AH9" s="24">
        <v>-8.9</v>
      </c>
      <c r="AI9" s="24">
        <v>-13.7</v>
      </c>
      <c r="AJ9" s="94">
        <v>-19.7</v>
      </c>
      <c r="AK9" s="60">
        <f>SUM(AG9:AJ9)</f>
        <v>-48.099999999999994</v>
      </c>
      <c r="AM9" s="24">
        <v>-4.8</v>
      </c>
      <c r="AN9" s="24">
        <v>-39.299999999999997</v>
      </c>
      <c r="AO9" s="24">
        <v>-1.5</v>
      </c>
      <c r="AP9" s="94">
        <f t="shared" si="3"/>
        <v>-16.000000000000007</v>
      </c>
      <c r="AQ9" s="60">
        <v>-61.6</v>
      </c>
      <c r="AS9" s="4">
        <v>-16</v>
      </c>
      <c r="AT9" s="4">
        <v>-13</v>
      </c>
      <c r="AU9" s="4">
        <v>-17</v>
      </c>
      <c r="AV9" s="287">
        <v>-19</v>
      </c>
      <c r="AW9" s="29">
        <f>+SUM(AS9:AV9)</f>
        <v>-65</v>
      </c>
      <c r="AY9" s="4">
        <v>-33</v>
      </c>
      <c r="AZ9" s="4">
        <v>-34</v>
      </c>
      <c r="BA9" s="4">
        <v>-39</v>
      </c>
      <c r="BB9" s="287"/>
      <c r="BC9" s="29">
        <f>+SUM(AY9:BB9)</f>
        <v>-106</v>
      </c>
    </row>
    <row r="10" spans="1:55" s="41" customFormat="1" ht="12.75" customHeight="1" x14ac:dyDescent="0.2">
      <c r="A10" s="37" t="s">
        <v>141</v>
      </c>
      <c r="C10" s="64">
        <f>+SUM(C6:C9)</f>
        <v>273.8</v>
      </c>
      <c r="D10" s="64">
        <f t="shared" ref="D10:F10" si="4">+SUM(D6:D9)</f>
        <v>390.3</v>
      </c>
      <c r="E10" s="64">
        <f t="shared" si="4"/>
        <v>396.6</v>
      </c>
      <c r="F10" s="100">
        <f t="shared" si="4"/>
        <v>368.20000000000005</v>
      </c>
      <c r="G10" s="65">
        <f>+SUM(G6:G9)</f>
        <v>1428.9</v>
      </c>
      <c r="H10" s="67"/>
      <c r="I10" s="64">
        <f>+SUM(I6:I9)</f>
        <v>351.1</v>
      </c>
      <c r="J10" s="64">
        <f t="shared" ref="J10" si="5">+SUM(J6:J9)</f>
        <v>407.20000000000005</v>
      </c>
      <c r="K10" s="64">
        <f t="shared" ref="K10" si="6">+SUM(K6:K9)</f>
        <v>366.99999999999994</v>
      </c>
      <c r="L10" s="100">
        <f t="shared" ref="L10" si="7">+SUM(L6:L9)</f>
        <v>309.2999999999999</v>
      </c>
      <c r="M10" s="65">
        <f>+SUM(M6:M9)</f>
        <v>1434.6000000000001</v>
      </c>
      <c r="N10" s="67"/>
      <c r="O10" s="64">
        <f>+SUM(O6:O9)</f>
        <v>279.79999999999995</v>
      </c>
      <c r="P10" s="64">
        <f t="shared" ref="P10" si="8">+SUM(P6:P9)</f>
        <v>337.80000000000007</v>
      </c>
      <c r="Q10" s="64">
        <f t="shared" ref="Q10" si="9">+SUM(Q6:Q9)</f>
        <v>308.60000000000002</v>
      </c>
      <c r="R10" s="100">
        <f t="shared" ref="R10" si="10">+SUM(R6:R9)</f>
        <v>341.99999999999994</v>
      </c>
      <c r="S10" s="65">
        <f>+SUM(S6:S9)</f>
        <v>1268.1999999999998</v>
      </c>
      <c r="U10" s="64">
        <f>+SUM(U6:U9)</f>
        <v>318.39999999999998</v>
      </c>
      <c r="V10" s="64">
        <f>+SUM(V6:V9)</f>
        <v>359.2</v>
      </c>
      <c r="W10" s="64">
        <f>+SUM(W6:W9)</f>
        <v>376.59999999999997</v>
      </c>
      <c r="X10" s="64">
        <f>+SUM(X6:X9)</f>
        <v>348.3</v>
      </c>
      <c r="Y10" s="65">
        <f>+SUM(Y6:Y9)</f>
        <v>1402.5</v>
      </c>
      <c r="AA10" s="64">
        <f>+SUM(AA6:AA9)</f>
        <v>414</v>
      </c>
      <c r="AB10" s="64">
        <f t="shared" ref="AB10:AD10" si="11">+SUM(AB6:AB9)</f>
        <v>498.00000000000006</v>
      </c>
      <c r="AC10" s="64">
        <f t="shared" si="11"/>
        <v>479.7</v>
      </c>
      <c r="AD10" s="64">
        <f t="shared" si="11"/>
        <v>436.2</v>
      </c>
      <c r="AE10" s="65">
        <f>+SUM(AE6:AE9)</f>
        <v>1827.8999999999999</v>
      </c>
      <c r="AG10" s="64">
        <f>+SUM(AG6:AG9)</f>
        <v>489.5</v>
      </c>
      <c r="AH10" s="64">
        <f t="shared" ref="AH10:AJ10" si="12">+SUM(AH6:AH9)</f>
        <v>578.00000000000011</v>
      </c>
      <c r="AI10" s="64">
        <f t="shared" si="12"/>
        <v>492.00000000000006</v>
      </c>
      <c r="AJ10" s="64">
        <f t="shared" si="12"/>
        <v>519.5</v>
      </c>
      <c r="AK10" s="65">
        <f>+SUM(AK6:AK9)</f>
        <v>2079.0000000000005</v>
      </c>
      <c r="AM10" s="64">
        <f>+SUM(AM6:AM9)</f>
        <v>589.5</v>
      </c>
      <c r="AN10" s="64">
        <f>+SUM(AN6:AN9)</f>
        <v>631.40000000000009</v>
      </c>
      <c r="AO10" s="64">
        <f>+SUM(AO6:AO9)</f>
        <v>661</v>
      </c>
      <c r="AP10" s="64">
        <f>+SUM(AP6:AP9)</f>
        <v>685.30000000000018</v>
      </c>
      <c r="AQ10" s="65">
        <f>+SUM(AQ6:AQ9)</f>
        <v>2567.1999999999998</v>
      </c>
      <c r="AS10" s="38">
        <f>+SUM(AS6:AS9)</f>
        <v>704</v>
      </c>
      <c r="AT10" s="38">
        <f>+SUM(AT6:AT9)</f>
        <v>802</v>
      </c>
      <c r="AU10" s="38">
        <f>+SUM(AU6:AU9)</f>
        <v>856</v>
      </c>
      <c r="AV10" s="288">
        <f>+SUM(AV6:AV9)</f>
        <v>890</v>
      </c>
      <c r="AW10" s="255">
        <f>+SUM(AS10:AV10)</f>
        <v>3252</v>
      </c>
      <c r="AY10" s="38">
        <f>+SUM(AY6:AY9)</f>
        <v>837</v>
      </c>
      <c r="AZ10" s="38">
        <f>+SUM(AZ6:AZ9)</f>
        <v>945</v>
      </c>
      <c r="BA10" s="38">
        <f>+SUM(BA6:BA9)</f>
        <v>936</v>
      </c>
      <c r="BB10" s="288"/>
      <c r="BC10" s="255">
        <f>+SUM(AY10:BB10)</f>
        <v>2718</v>
      </c>
    </row>
    <row r="11" spans="1:55" ht="12.75" customHeight="1" x14ac:dyDescent="0.2">
      <c r="A11" s="2" t="s">
        <v>140</v>
      </c>
      <c r="C11" s="24">
        <v>7.5</v>
      </c>
      <c r="D11" s="24">
        <v>11.2</v>
      </c>
      <c r="E11" s="24">
        <v>11.2</v>
      </c>
      <c r="F11" s="94">
        <v>21</v>
      </c>
      <c r="G11" s="60">
        <f t="shared" ref="G11:G12" si="13">SUM(C11:F11)</f>
        <v>50.9</v>
      </c>
      <c r="H11" s="24"/>
      <c r="I11" s="24">
        <v>12.4</v>
      </c>
      <c r="J11" s="24">
        <v>17.600000000000001</v>
      </c>
      <c r="K11" s="24">
        <v>15.2</v>
      </c>
      <c r="L11" s="94">
        <v>22.500000000000004</v>
      </c>
      <c r="M11" s="60">
        <f t="shared" ref="M11:M12" si="14">SUM(I11:L11)</f>
        <v>67.7</v>
      </c>
      <c r="N11" s="24"/>
      <c r="O11" s="24">
        <v>14.5</v>
      </c>
      <c r="P11" s="24">
        <v>17.899999999999999</v>
      </c>
      <c r="Q11" s="24">
        <v>16.7</v>
      </c>
      <c r="R11" s="94">
        <v>25.499999999999996</v>
      </c>
      <c r="S11" s="60">
        <f t="shared" ref="S11:S12" si="15">SUM(O11:R11)</f>
        <v>74.599999999999994</v>
      </c>
      <c r="U11" s="24">
        <v>12.7</v>
      </c>
      <c r="V11" s="24">
        <v>14.6</v>
      </c>
      <c r="W11" s="24">
        <v>16.7</v>
      </c>
      <c r="X11" s="94">
        <v>25.9</v>
      </c>
      <c r="Y11" s="60">
        <f t="shared" ref="Y11:Y12" si="16">SUM(U11:X11)</f>
        <v>69.900000000000006</v>
      </c>
      <c r="AA11" s="24">
        <v>15.7</v>
      </c>
      <c r="AB11" s="24">
        <v>18.3</v>
      </c>
      <c r="AC11" s="24">
        <v>18.5</v>
      </c>
      <c r="AD11" s="94">
        <v>27.6</v>
      </c>
      <c r="AE11" s="60">
        <f t="shared" ref="AE11:AE12" si="17">SUM(AA11:AD11)</f>
        <v>80.099999999999994</v>
      </c>
      <c r="AG11" s="24">
        <v>16.100000000000001</v>
      </c>
      <c r="AH11" s="219"/>
      <c r="AI11" s="219"/>
      <c r="AJ11" s="222"/>
      <c r="AK11" s="223"/>
      <c r="AM11" s="219"/>
      <c r="AN11" s="24"/>
      <c r="AO11" s="24"/>
      <c r="AP11" s="24"/>
      <c r="AQ11" s="28"/>
      <c r="AS11" s="240"/>
      <c r="AT11" s="240"/>
      <c r="AU11" s="240"/>
      <c r="AV11" s="289"/>
      <c r="AW11" s="240"/>
      <c r="AY11" s="240"/>
      <c r="AZ11" s="240"/>
      <c r="BA11" s="240"/>
      <c r="BB11" s="289"/>
      <c r="BC11" s="240"/>
    </row>
    <row r="12" spans="1:55" ht="12.75" customHeight="1" x14ac:dyDescent="0.2">
      <c r="A12" s="2" t="s">
        <v>183</v>
      </c>
      <c r="C12" s="24">
        <v>0</v>
      </c>
      <c r="D12" s="24">
        <v>0</v>
      </c>
      <c r="E12" s="24">
        <v>0</v>
      </c>
      <c r="F12" s="94">
        <v>-0.5</v>
      </c>
      <c r="G12" s="60">
        <f t="shared" si="13"/>
        <v>-0.5</v>
      </c>
      <c r="H12" s="24"/>
      <c r="I12" s="24">
        <v>0</v>
      </c>
      <c r="J12" s="24">
        <v>-0.1</v>
      </c>
      <c r="K12" s="24">
        <v>-0.4</v>
      </c>
      <c r="L12" s="94">
        <v>-0.19999999999999996</v>
      </c>
      <c r="M12" s="60">
        <f t="shared" si="14"/>
        <v>-0.7</v>
      </c>
      <c r="N12" s="24"/>
      <c r="O12" s="24">
        <v>0</v>
      </c>
      <c r="P12" s="24">
        <v>-0.3</v>
      </c>
      <c r="Q12" s="24">
        <v>0</v>
      </c>
      <c r="R12" s="94">
        <v>-0.10000000000000003</v>
      </c>
      <c r="S12" s="60">
        <f t="shared" si="15"/>
        <v>-0.4</v>
      </c>
      <c r="U12" s="24">
        <v>0</v>
      </c>
      <c r="V12" s="24">
        <v>-1.4</v>
      </c>
      <c r="W12" s="24">
        <v>-0.2</v>
      </c>
      <c r="X12" s="94">
        <v>-0.6</v>
      </c>
      <c r="Y12" s="60">
        <f t="shared" si="16"/>
        <v>-2.1999999999999997</v>
      </c>
      <c r="AA12" s="24">
        <v>-0.1</v>
      </c>
      <c r="AB12" s="24">
        <v>-0.7</v>
      </c>
      <c r="AC12" s="24">
        <v>0</v>
      </c>
      <c r="AD12" s="94">
        <v>-0.5</v>
      </c>
      <c r="AE12" s="60">
        <f t="shared" si="17"/>
        <v>-1.2999999999999998</v>
      </c>
      <c r="AG12" s="24">
        <v>0</v>
      </c>
      <c r="AH12" s="219"/>
      <c r="AI12" s="219"/>
      <c r="AJ12" s="222"/>
      <c r="AK12" s="223"/>
      <c r="AM12" s="219"/>
      <c r="AN12" s="24"/>
      <c r="AO12" s="24"/>
      <c r="AP12" s="24"/>
      <c r="AQ12" s="28"/>
      <c r="AS12" s="240"/>
      <c r="AT12" s="240"/>
      <c r="AU12" s="240"/>
      <c r="AV12" s="289"/>
      <c r="AW12" s="240"/>
      <c r="AY12" s="240"/>
      <c r="AZ12" s="240"/>
      <c r="BA12" s="240"/>
      <c r="BB12" s="289"/>
      <c r="BC12" s="240"/>
    </row>
    <row r="13" spans="1:55" s="41" customFormat="1" ht="12.75" customHeight="1" x14ac:dyDescent="0.2">
      <c r="A13" s="37" t="s">
        <v>150</v>
      </c>
      <c r="C13" s="64">
        <f>+SUM(C10:C12)</f>
        <v>281.3</v>
      </c>
      <c r="D13" s="64">
        <f t="shared" ref="D13:G13" si="18">+SUM(D10:D12)</f>
        <v>401.5</v>
      </c>
      <c r="E13" s="64">
        <f t="shared" si="18"/>
        <v>407.8</v>
      </c>
      <c r="F13" s="100">
        <f t="shared" si="18"/>
        <v>388.70000000000005</v>
      </c>
      <c r="G13" s="65">
        <f t="shared" si="18"/>
        <v>1479.3000000000002</v>
      </c>
      <c r="H13" s="67"/>
      <c r="I13" s="64">
        <f t="shared" ref="I13:M13" si="19">+SUM(I10:I12)</f>
        <v>363.5</v>
      </c>
      <c r="J13" s="64">
        <f t="shared" si="19"/>
        <v>424.70000000000005</v>
      </c>
      <c r="K13" s="64">
        <f t="shared" si="19"/>
        <v>381.79999999999995</v>
      </c>
      <c r="L13" s="100">
        <f t="shared" si="19"/>
        <v>331.59999999999991</v>
      </c>
      <c r="M13" s="65">
        <f t="shared" si="19"/>
        <v>1501.6000000000001</v>
      </c>
      <c r="N13" s="67"/>
      <c r="O13" s="64">
        <f t="shared" ref="O13:R13" si="20">+SUM(O10:O12)</f>
        <v>294.29999999999995</v>
      </c>
      <c r="P13" s="64">
        <f t="shared" si="20"/>
        <v>355.40000000000003</v>
      </c>
      <c r="Q13" s="64">
        <f t="shared" si="20"/>
        <v>325.3</v>
      </c>
      <c r="R13" s="100">
        <f t="shared" si="20"/>
        <v>367.39999999999992</v>
      </c>
      <c r="S13" s="65">
        <f>+SUM(S10:S12)</f>
        <v>1342.3999999999996</v>
      </c>
      <c r="U13" s="64">
        <f t="shared" ref="U13:Y13" si="21">+SUM(U10:U12)</f>
        <v>331.09999999999997</v>
      </c>
      <c r="V13" s="64">
        <f t="shared" si="21"/>
        <v>372.40000000000003</v>
      </c>
      <c r="W13" s="64">
        <f t="shared" si="21"/>
        <v>393.09999999999997</v>
      </c>
      <c r="X13" s="64">
        <f t="shared" si="21"/>
        <v>373.59999999999997</v>
      </c>
      <c r="Y13" s="65">
        <f t="shared" si="21"/>
        <v>1470.2</v>
      </c>
      <c r="AA13" s="64">
        <f t="shared" ref="AA13:AE13" si="22">+SUM(AA10:AA12)</f>
        <v>429.59999999999997</v>
      </c>
      <c r="AB13" s="64">
        <f t="shared" ref="AB13:AD13" si="23">+SUM(AB10:AB12)</f>
        <v>515.6</v>
      </c>
      <c r="AC13" s="64">
        <f t="shared" si="23"/>
        <v>498.2</v>
      </c>
      <c r="AD13" s="64">
        <f t="shared" si="23"/>
        <v>463.3</v>
      </c>
      <c r="AE13" s="65">
        <f t="shared" si="22"/>
        <v>1906.6999999999998</v>
      </c>
      <c r="AG13" s="64">
        <f t="shared" ref="AG13:AK13" si="24">+SUM(AG10:AG12)</f>
        <v>505.6</v>
      </c>
      <c r="AH13" s="219">
        <f t="shared" si="24"/>
        <v>578.00000000000011</v>
      </c>
      <c r="AI13" s="219">
        <f t="shared" si="24"/>
        <v>492.00000000000006</v>
      </c>
      <c r="AJ13" s="222">
        <f t="shared" si="24"/>
        <v>519.5</v>
      </c>
      <c r="AK13" s="223">
        <f t="shared" si="24"/>
        <v>2079.0000000000005</v>
      </c>
      <c r="AM13" s="219"/>
      <c r="AN13" s="64"/>
      <c r="AO13" s="64"/>
      <c r="AP13" s="64"/>
      <c r="AQ13" s="65"/>
      <c r="AS13" s="240"/>
      <c r="AT13" s="240"/>
      <c r="AU13" s="240"/>
      <c r="AV13" s="289"/>
      <c r="AW13" s="240"/>
      <c r="AY13" s="240"/>
      <c r="AZ13" s="240"/>
      <c r="BA13" s="240"/>
      <c r="BB13" s="289"/>
      <c r="BC13" s="240"/>
    </row>
    <row r="14" spans="1:55" s="49" customFormat="1" ht="12.75" customHeight="1" x14ac:dyDescent="0.2">
      <c r="C14" s="97"/>
      <c r="D14" s="97"/>
      <c r="E14" s="97"/>
      <c r="F14" s="101"/>
      <c r="G14" s="98"/>
      <c r="H14" s="97"/>
      <c r="I14" s="97"/>
      <c r="J14" s="97"/>
      <c r="K14" s="97"/>
      <c r="L14" s="101"/>
      <c r="M14" s="98"/>
      <c r="N14" s="97"/>
      <c r="O14" s="97"/>
      <c r="P14" s="97"/>
      <c r="Q14" s="97"/>
      <c r="R14" s="101"/>
      <c r="S14" s="98"/>
      <c r="U14" s="97"/>
      <c r="V14" s="97"/>
      <c r="W14" s="97"/>
      <c r="X14" s="101"/>
      <c r="Y14" s="98"/>
      <c r="AA14" s="97"/>
      <c r="AB14" s="97"/>
      <c r="AC14" s="97"/>
      <c r="AD14" s="101"/>
      <c r="AE14" s="98"/>
      <c r="AG14" s="97"/>
      <c r="AH14" s="97"/>
      <c r="AI14" s="97"/>
      <c r="AJ14" s="101"/>
      <c r="AK14" s="98"/>
      <c r="AM14" s="97"/>
      <c r="AN14" s="97"/>
      <c r="AO14" s="97"/>
      <c r="AP14" s="101"/>
      <c r="AQ14" s="98"/>
      <c r="AS14" s="241"/>
      <c r="AT14" s="97"/>
      <c r="AU14" s="241"/>
      <c r="AV14" s="290"/>
      <c r="AW14" s="43"/>
      <c r="AY14" s="241"/>
      <c r="AZ14" s="97"/>
      <c r="BA14" s="241"/>
      <c r="BB14" s="290"/>
      <c r="BC14" s="43"/>
    </row>
    <row r="15" spans="1:55" ht="12.75" customHeight="1" x14ac:dyDescent="0.2">
      <c r="A15" s="1" t="s">
        <v>193</v>
      </c>
      <c r="G15" s="28"/>
      <c r="H15" s="24"/>
      <c r="M15" s="28"/>
      <c r="N15" s="24"/>
      <c r="S15" s="28"/>
      <c r="Y15" s="28"/>
      <c r="AE15" s="28"/>
      <c r="AK15" s="28"/>
      <c r="AQ15" s="28"/>
      <c r="AS15" s="4"/>
      <c r="AU15" s="4"/>
      <c r="AW15" s="29"/>
      <c r="AY15" s="4"/>
      <c r="BA15" s="4"/>
      <c r="BC15" s="29"/>
    </row>
    <row r="16" spans="1:55" ht="12.75" customHeight="1" x14ac:dyDescent="0.2">
      <c r="A16" s="2" t="s">
        <v>180</v>
      </c>
      <c r="C16" s="24">
        <v>73.7</v>
      </c>
      <c r="D16" s="24">
        <v>154.6</v>
      </c>
      <c r="E16" s="24">
        <v>182.9</v>
      </c>
      <c r="F16" s="94">
        <v>177.8</v>
      </c>
      <c r="G16" s="60">
        <f>SUM(C16:F16)</f>
        <v>589</v>
      </c>
      <c r="H16" s="24"/>
      <c r="I16" s="24">
        <v>139.5</v>
      </c>
      <c r="J16" s="24">
        <v>160.9</v>
      </c>
      <c r="K16" s="24">
        <v>166.4</v>
      </c>
      <c r="L16" s="94">
        <v>111.1</v>
      </c>
      <c r="M16" s="60">
        <f>SUM(I16:L16)</f>
        <v>577.9</v>
      </c>
      <c r="N16" s="24"/>
      <c r="O16" s="24">
        <v>92.2</v>
      </c>
      <c r="P16" s="24">
        <v>111</v>
      </c>
      <c r="Q16" s="24">
        <v>109.8</v>
      </c>
      <c r="R16" s="94">
        <v>142.60000000000002</v>
      </c>
      <c r="S16" s="60">
        <f>SUM(O16:R16)</f>
        <v>455.6</v>
      </c>
      <c r="U16" s="24">
        <v>123.6</v>
      </c>
      <c r="V16" s="24">
        <v>134.69999999999999</v>
      </c>
      <c r="W16" s="24">
        <v>165</v>
      </c>
      <c r="X16" s="94">
        <v>155.19999999999999</v>
      </c>
      <c r="Y16" s="60">
        <f>SUM(U16:X16)</f>
        <v>578.5</v>
      </c>
      <c r="AA16" s="24">
        <v>160.5</v>
      </c>
      <c r="AB16" s="24">
        <v>162.69999999999999</v>
      </c>
      <c r="AC16" s="24">
        <v>178.1</v>
      </c>
      <c r="AD16" s="94">
        <v>138.80000000000001</v>
      </c>
      <c r="AE16" s="60">
        <f>SUM(AA16:AD16)</f>
        <v>640.09999999999991</v>
      </c>
      <c r="AG16" s="24">
        <v>150.9</v>
      </c>
      <c r="AH16" s="24">
        <v>195.9</v>
      </c>
      <c r="AI16" s="24">
        <v>185.9</v>
      </c>
      <c r="AJ16" s="94">
        <v>216.8</v>
      </c>
      <c r="AK16" s="60">
        <f>SUM(AG16:AJ16)</f>
        <v>749.5</v>
      </c>
      <c r="AM16" s="24">
        <v>215</v>
      </c>
      <c r="AN16" s="24">
        <v>285.3</v>
      </c>
      <c r="AO16" s="24">
        <v>301</v>
      </c>
      <c r="AP16" s="94">
        <f>+AQ16-SUM(AM16:AO16)</f>
        <v>350.10000000000014</v>
      </c>
      <c r="AQ16" s="60">
        <v>1151.4000000000001</v>
      </c>
      <c r="AS16" s="4">
        <v>321</v>
      </c>
      <c r="AT16" s="4">
        <v>379</v>
      </c>
      <c r="AU16" s="4">
        <v>429</v>
      </c>
      <c r="AV16" s="287">
        <v>469</v>
      </c>
      <c r="AW16" s="29">
        <f>+SUM(AS16:AV16)</f>
        <v>1598</v>
      </c>
      <c r="AY16" s="4">
        <v>388</v>
      </c>
      <c r="AZ16" s="4">
        <v>450</v>
      </c>
      <c r="BA16" s="4">
        <v>459</v>
      </c>
      <c r="BB16" s="287"/>
      <c r="BC16" s="29">
        <f>+SUM(AY16:BB16)</f>
        <v>1297</v>
      </c>
    </row>
    <row r="17" spans="1:55" ht="12.75" customHeight="1" x14ac:dyDescent="0.2">
      <c r="A17" s="2" t="s">
        <v>181</v>
      </c>
      <c r="C17" s="24">
        <v>101.6</v>
      </c>
      <c r="D17" s="24">
        <v>108.3</v>
      </c>
      <c r="E17" s="24">
        <v>103.2</v>
      </c>
      <c r="F17" s="94">
        <v>86.8</v>
      </c>
      <c r="G17" s="60">
        <f t="shared" ref="G17:G19" si="25">SUM(C17:F17)</f>
        <v>399.9</v>
      </c>
      <c r="H17" s="24"/>
      <c r="I17" s="24">
        <v>91.7</v>
      </c>
      <c r="J17" s="24">
        <v>115.1</v>
      </c>
      <c r="K17" s="24">
        <v>97.2</v>
      </c>
      <c r="L17" s="94">
        <v>96.500000000000014</v>
      </c>
      <c r="M17" s="60">
        <f t="shared" ref="M17:M19" si="26">SUM(I17:L17)</f>
        <v>400.5</v>
      </c>
      <c r="N17" s="24"/>
      <c r="O17" s="24">
        <v>91.7</v>
      </c>
      <c r="P17" s="24">
        <v>106.1</v>
      </c>
      <c r="Q17" s="24">
        <v>98.9</v>
      </c>
      <c r="R17" s="94">
        <v>92.400000000000034</v>
      </c>
      <c r="S17" s="60">
        <f t="shared" ref="S17:S19" si="27">SUM(O17:R17)</f>
        <v>389.10000000000008</v>
      </c>
      <c r="U17" s="24">
        <v>94.1</v>
      </c>
      <c r="V17" s="24">
        <v>113.5</v>
      </c>
      <c r="W17" s="24">
        <v>102.5</v>
      </c>
      <c r="X17" s="94">
        <v>83.6</v>
      </c>
      <c r="Y17" s="60">
        <f t="shared" ref="Y17:Y19" si="28">SUM(U17:X17)</f>
        <v>393.70000000000005</v>
      </c>
      <c r="AA17" s="24">
        <v>95.8</v>
      </c>
      <c r="AB17" s="24">
        <v>123.6</v>
      </c>
      <c r="AC17" s="24">
        <v>118.4</v>
      </c>
      <c r="AD17" s="94">
        <v>112.4</v>
      </c>
      <c r="AE17" s="60">
        <f t="shared" ref="AE17:AE19" si="29">SUM(AA17:AD17)</f>
        <v>450.19999999999993</v>
      </c>
      <c r="AG17" s="24">
        <v>131.1</v>
      </c>
      <c r="AH17" s="24">
        <v>147.9</v>
      </c>
      <c r="AI17" s="24">
        <v>129</v>
      </c>
      <c r="AJ17" s="94">
        <v>144</v>
      </c>
      <c r="AK17" s="60">
        <f t="shared" ref="AK17:AK19" si="30">SUM(AG17:AJ17)</f>
        <v>552</v>
      </c>
      <c r="AM17" s="24">
        <v>164</v>
      </c>
      <c r="AN17" s="24">
        <v>170.3</v>
      </c>
      <c r="AO17" s="24">
        <v>154.5</v>
      </c>
      <c r="AP17" s="94">
        <f t="shared" ref="AP17:AP19" si="31">+AQ17-SUM(AM17:AO17)</f>
        <v>148.90000000000003</v>
      </c>
      <c r="AQ17" s="60">
        <v>637.70000000000005</v>
      </c>
      <c r="AS17" s="4">
        <v>153</v>
      </c>
      <c r="AT17" s="4">
        <v>175</v>
      </c>
      <c r="AU17" s="4">
        <v>183</v>
      </c>
      <c r="AV17" s="287">
        <v>178</v>
      </c>
      <c r="AW17" s="29">
        <f>+SUM(AS17:AV17)</f>
        <v>689</v>
      </c>
      <c r="AY17" s="4">
        <v>203</v>
      </c>
      <c r="AZ17" s="4">
        <v>234</v>
      </c>
      <c r="BA17" s="4">
        <v>208</v>
      </c>
      <c r="BB17" s="287"/>
      <c r="BC17" s="29">
        <f>+SUM(AY17:BB17)</f>
        <v>645</v>
      </c>
    </row>
    <row r="18" spans="1:55" ht="12.75" customHeight="1" x14ac:dyDescent="0.2">
      <c r="A18" s="2" t="s">
        <v>182</v>
      </c>
      <c r="C18" s="24">
        <v>13.5</v>
      </c>
      <c r="D18" s="24">
        <v>26.4</v>
      </c>
      <c r="E18" s="24">
        <v>24.2</v>
      </c>
      <c r="F18" s="94">
        <v>24.6</v>
      </c>
      <c r="G18" s="60">
        <f t="shared" si="25"/>
        <v>88.699999999999989</v>
      </c>
      <c r="H18" s="24"/>
      <c r="I18" s="24">
        <v>30.2</v>
      </c>
      <c r="J18" s="24">
        <v>37.1</v>
      </c>
      <c r="K18" s="24">
        <v>30.6</v>
      </c>
      <c r="L18" s="94">
        <v>31.5</v>
      </c>
      <c r="M18" s="60">
        <f t="shared" si="26"/>
        <v>129.4</v>
      </c>
      <c r="N18" s="24"/>
      <c r="O18" s="24">
        <v>25.1</v>
      </c>
      <c r="P18" s="24">
        <v>32.4</v>
      </c>
      <c r="Q18" s="24">
        <v>28.6</v>
      </c>
      <c r="R18" s="94">
        <v>30.599999999999994</v>
      </c>
      <c r="S18" s="60">
        <f t="shared" si="27"/>
        <v>116.69999999999999</v>
      </c>
      <c r="U18" s="24">
        <v>28.4</v>
      </c>
      <c r="V18" s="24">
        <v>36.200000000000003</v>
      </c>
      <c r="W18" s="24">
        <v>38.200000000000003</v>
      </c>
      <c r="X18" s="94">
        <v>38.5</v>
      </c>
      <c r="Y18" s="60">
        <f t="shared" si="28"/>
        <v>141.30000000000001</v>
      </c>
      <c r="AA18" s="24">
        <v>46.1</v>
      </c>
      <c r="AB18" s="24">
        <v>65.2</v>
      </c>
      <c r="AC18" s="24">
        <v>45.5</v>
      </c>
      <c r="AD18" s="94">
        <v>49</v>
      </c>
      <c r="AE18" s="60">
        <f t="shared" si="29"/>
        <v>205.8</v>
      </c>
      <c r="AG18" s="24">
        <v>43.6</v>
      </c>
      <c r="AH18" s="24">
        <v>47.2</v>
      </c>
      <c r="AI18" s="24">
        <v>56.3</v>
      </c>
      <c r="AJ18" s="94">
        <v>46.1</v>
      </c>
      <c r="AK18" s="60">
        <f t="shared" si="30"/>
        <v>193.20000000000002</v>
      </c>
      <c r="AM18" s="24">
        <v>47.5</v>
      </c>
      <c r="AN18" s="24">
        <v>51.7</v>
      </c>
      <c r="AO18" s="24">
        <v>47.4</v>
      </c>
      <c r="AP18" s="94">
        <f t="shared" si="31"/>
        <v>53</v>
      </c>
      <c r="AQ18" s="60">
        <v>199.6</v>
      </c>
      <c r="AS18" s="4">
        <v>74</v>
      </c>
      <c r="AT18" s="4">
        <v>64</v>
      </c>
      <c r="AU18" s="4">
        <v>60</v>
      </c>
      <c r="AV18" s="287">
        <v>59</v>
      </c>
      <c r="AW18" s="29">
        <f>+SUM(AS18:AV18)</f>
        <v>257</v>
      </c>
      <c r="AY18" s="4">
        <v>70</v>
      </c>
      <c r="AZ18" s="4">
        <v>70</v>
      </c>
      <c r="BA18" s="4">
        <v>98</v>
      </c>
      <c r="BB18" s="287"/>
      <c r="BC18" s="29">
        <f>+SUM(AY18:BB18)</f>
        <v>238</v>
      </c>
    </row>
    <row r="19" spans="1:55" ht="12.75" customHeight="1" x14ac:dyDescent="0.2">
      <c r="A19" s="36" t="s">
        <v>183</v>
      </c>
      <c r="B19" s="36"/>
      <c r="C19" s="62">
        <v>-3.6</v>
      </c>
      <c r="D19" s="62">
        <v>-1.2</v>
      </c>
      <c r="E19" s="62">
        <v>-7.1</v>
      </c>
      <c r="F19" s="182">
        <v>-7.7</v>
      </c>
      <c r="G19" s="63">
        <f t="shared" si="25"/>
        <v>-19.599999999999998</v>
      </c>
      <c r="H19" s="24"/>
      <c r="I19" s="62">
        <v>-6.9</v>
      </c>
      <c r="J19" s="62">
        <v>-6.7</v>
      </c>
      <c r="K19" s="62">
        <v>-7.3</v>
      </c>
      <c r="L19" s="182">
        <v>-6.799999999999998</v>
      </c>
      <c r="M19" s="63">
        <f t="shared" si="26"/>
        <v>-27.7</v>
      </c>
      <c r="N19" s="24"/>
      <c r="O19" s="62">
        <v>-3.6</v>
      </c>
      <c r="P19" s="62">
        <v>-4.5</v>
      </c>
      <c r="Q19" s="62">
        <v>-4.9000000000000004</v>
      </c>
      <c r="R19" s="182">
        <v>-3.3999999999999986</v>
      </c>
      <c r="S19" s="63">
        <f t="shared" si="27"/>
        <v>-16.399999999999999</v>
      </c>
      <c r="U19" s="62">
        <v>-5.8</v>
      </c>
      <c r="V19" s="62">
        <v>-6.6</v>
      </c>
      <c r="W19" s="62">
        <v>-5.5</v>
      </c>
      <c r="X19" s="182">
        <v>-8.6</v>
      </c>
      <c r="Y19" s="63">
        <f t="shared" si="28"/>
        <v>-26.5</v>
      </c>
      <c r="AA19" s="62">
        <v>-6.4</v>
      </c>
      <c r="AB19" s="62">
        <v>-7.3</v>
      </c>
      <c r="AC19" s="62">
        <v>-8.8000000000000007</v>
      </c>
      <c r="AD19" s="182">
        <v>-10.5</v>
      </c>
      <c r="AE19" s="63">
        <f t="shared" si="29"/>
        <v>-33</v>
      </c>
      <c r="AG19" s="62">
        <v>-6.4</v>
      </c>
      <c r="AH19" s="62">
        <v>-9.9</v>
      </c>
      <c r="AI19" s="62">
        <v>-13.5</v>
      </c>
      <c r="AJ19" s="182">
        <v>-18.100000000000001</v>
      </c>
      <c r="AK19" s="63">
        <f t="shared" si="30"/>
        <v>-47.900000000000006</v>
      </c>
      <c r="AM19" s="62">
        <v>-4.8</v>
      </c>
      <c r="AN19" s="62">
        <v>-39.1</v>
      </c>
      <c r="AO19" s="62">
        <v>-1.5</v>
      </c>
      <c r="AP19" s="94">
        <f t="shared" si="31"/>
        <v>-15.899999999999999</v>
      </c>
      <c r="AQ19" s="60">
        <v>-61.3</v>
      </c>
      <c r="AS19" s="242">
        <v>-14</v>
      </c>
      <c r="AT19" s="242">
        <v>-13</v>
      </c>
      <c r="AU19" s="242">
        <v>-15</v>
      </c>
      <c r="AV19" s="287">
        <v>-13</v>
      </c>
      <c r="AW19" s="29">
        <f>+SUM(AS19:AV19)</f>
        <v>-55</v>
      </c>
      <c r="AY19" s="242">
        <v>-31</v>
      </c>
      <c r="AZ19" s="242">
        <v>-31</v>
      </c>
      <c r="BA19" s="242">
        <v>-39</v>
      </c>
      <c r="BB19" s="287"/>
      <c r="BC19" s="29">
        <f>+SUM(AY19:BB19)</f>
        <v>-101</v>
      </c>
    </row>
    <row r="20" spans="1:55" s="41" customFormat="1" ht="12.75" customHeight="1" x14ac:dyDescent="0.2">
      <c r="A20" s="37" t="s">
        <v>141</v>
      </c>
      <c r="C20" s="64">
        <f>+SUM(C16:C19)</f>
        <v>185.20000000000002</v>
      </c>
      <c r="D20" s="64">
        <f t="shared" ref="D20" si="32">+SUM(D16:D19)</f>
        <v>288.09999999999997</v>
      </c>
      <c r="E20" s="64">
        <f t="shared" ref="E20" si="33">+SUM(E16:E19)</f>
        <v>303.2</v>
      </c>
      <c r="F20" s="100">
        <f t="shared" ref="F20" si="34">+SUM(F16:F19)</f>
        <v>281.50000000000006</v>
      </c>
      <c r="G20" s="65">
        <f>+SUM(G16:G19)</f>
        <v>1058</v>
      </c>
      <c r="H20" s="67"/>
      <c r="I20" s="64">
        <f>+SUM(I16:I19)</f>
        <v>254.49999999999997</v>
      </c>
      <c r="J20" s="64">
        <f t="shared" ref="J20" si="35">+SUM(J16:J19)</f>
        <v>306.40000000000003</v>
      </c>
      <c r="K20" s="64">
        <f t="shared" ref="K20" si="36">+SUM(K16:K19)</f>
        <v>286.90000000000003</v>
      </c>
      <c r="L20" s="100">
        <f t="shared" ref="L20" si="37">+SUM(L16:L19)</f>
        <v>232.3</v>
      </c>
      <c r="M20" s="65">
        <f>+SUM(M16:M19)</f>
        <v>1080.0999999999999</v>
      </c>
      <c r="N20" s="67"/>
      <c r="O20" s="64">
        <f>+SUM(O16:O19)</f>
        <v>205.4</v>
      </c>
      <c r="P20" s="64">
        <f t="shared" ref="P20" si="38">+SUM(P16:P19)</f>
        <v>245</v>
      </c>
      <c r="Q20" s="64">
        <f t="shared" ref="Q20" si="39">+SUM(Q16:Q19)</f>
        <v>232.39999999999998</v>
      </c>
      <c r="R20" s="100">
        <f t="shared" ref="R20" si="40">+SUM(R16:R19)</f>
        <v>262.20000000000005</v>
      </c>
      <c r="S20" s="65">
        <f>+SUM(S16:S19)</f>
        <v>945.00000000000011</v>
      </c>
      <c r="U20" s="64">
        <f>+SUM(U16:U19)</f>
        <v>240.29999999999998</v>
      </c>
      <c r="V20" s="64">
        <f>+SUM(V16:V19)</f>
        <v>277.79999999999995</v>
      </c>
      <c r="W20" s="64">
        <f>+SUM(W16:W19)</f>
        <v>300.2</v>
      </c>
      <c r="X20" s="64">
        <f>+SUM(X16:X19)</f>
        <v>268.69999999999993</v>
      </c>
      <c r="Y20" s="65">
        <f>+SUM(Y16:Y19)</f>
        <v>1087</v>
      </c>
      <c r="AA20" s="64">
        <f>+SUM(AA16:AA19)</f>
        <v>296.00000000000006</v>
      </c>
      <c r="AB20" s="64">
        <f t="shared" ref="AB20:AD20" si="41">+SUM(AB16:AB19)</f>
        <v>344.19999999999993</v>
      </c>
      <c r="AC20" s="64">
        <f t="shared" si="41"/>
        <v>333.2</v>
      </c>
      <c r="AD20" s="64">
        <f t="shared" si="41"/>
        <v>289.70000000000005</v>
      </c>
      <c r="AE20" s="65">
        <f>+SUM(AE16:AE19)</f>
        <v>1263.0999999999997</v>
      </c>
      <c r="AG20" s="64">
        <f>+SUM(AG16:AG19)</f>
        <v>319.20000000000005</v>
      </c>
      <c r="AH20" s="64">
        <f t="shared" ref="AH20:AJ20" si="42">+SUM(AH16:AH19)</f>
        <v>381.1</v>
      </c>
      <c r="AI20" s="64">
        <f t="shared" si="42"/>
        <v>357.7</v>
      </c>
      <c r="AJ20" s="64">
        <f t="shared" si="42"/>
        <v>388.8</v>
      </c>
      <c r="AK20" s="65">
        <f>+SUM(AK16:AK19)</f>
        <v>1446.8</v>
      </c>
      <c r="AM20" s="64">
        <f>+SUM(AM16:AM19)</f>
        <v>421.7</v>
      </c>
      <c r="AN20" s="64">
        <f>+SUM(AN16:AN19)</f>
        <v>468.2</v>
      </c>
      <c r="AO20" s="64">
        <f>+SUM(AO16:AO19)</f>
        <v>501.4</v>
      </c>
      <c r="AP20" s="64">
        <f>+SUM(AP16:AP19)</f>
        <v>536.10000000000025</v>
      </c>
      <c r="AQ20" s="65">
        <f>+SUM(AQ16:AQ19)</f>
        <v>1927.4</v>
      </c>
      <c r="AS20" s="38">
        <f>+SUM(AS16:AS19)</f>
        <v>534</v>
      </c>
      <c r="AT20" s="38">
        <f>+SUM(AT16:AT19)</f>
        <v>605</v>
      </c>
      <c r="AU20" s="38">
        <f>+SUM(AU16:AU19)</f>
        <v>657</v>
      </c>
      <c r="AV20" s="288">
        <f>+SUM(AV16:AV19)</f>
        <v>693</v>
      </c>
      <c r="AW20" s="255">
        <f>+SUM(AS20:AV20)</f>
        <v>2489</v>
      </c>
      <c r="AY20" s="38">
        <f>+SUM(AY16:AY19)</f>
        <v>630</v>
      </c>
      <c r="AZ20" s="38">
        <f>+SUM(AZ16:AZ19)</f>
        <v>723</v>
      </c>
      <c r="BA20" s="38">
        <f>+SUM(BA16:BA19)</f>
        <v>726</v>
      </c>
      <c r="BB20" s="288"/>
      <c r="BC20" s="255">
        <f>+SUM(AY20:BB20)</f>
        <v>2079</v>
      </c>
    </row>
    <row r="21" spans="1:55" s="183" customFormat="1" ht="12.75" customHeight="1" x14ac:dyDescent="0.2">
      <c r="A21" s="2" t="s">
        <v>140</v>
      </c>
      <c r="B21" s="2"/>
      <c r="C21" s="24">
        <v>7.5</v>
      </c>
      <c r="D21" s="24">
        <v>11.2</v>
      </c>
      <c r="E21" s="24">
        <v>11.2</v>
      </c>
      <c r="F21" s="94">
        <v>21</v>
      </c>
      <c r="G21" s="60">
        <f t="shared" ref="G21:G22" si="43">SUM(C21:F21)</f>
        <v>50.9</v>
      </c>
      <c r="H21" s="186"/>
      <c r="I21" s="24">
        <v>12.4</v>
      </c>
      <c r="J21" s="24">
        <v>17.600000000000001</v>
      </c>
      <c r="K21" s="24">
        <v>15.2</v>
      </c>
      <c r="L21" s="94">
        <v>22.500000000000004</v>
      </c>
      <c r="M21" s="60">
        <f t="shared" ref="M21:M22" si="44">SUM(I21:L21)</f>
        <v>67.7</v>
      </c>
      <c r="N21" s="186"/>
      <c r="O21" s="24">
        <v>14.5</v>
      </c>
      <c r="P21" s="24">
        <v>17.899999999999999</v>
      </c>
      <c r="Q21" s="24">
        <v>16.7</v>
      </c>
      <c r="R21" s="94">
        <v>25.499999999999996</v>
      </c>
      <c r="S21" s="60">
        <f t="shared" ref="S21:S22" si="45">SUM(O21:R21)</f>
        <v>74.599999999999994</v>
      </c>
      <c r="U21" s="24">
        <v>12.7</v>
      </c>
      <c r="V21" s="24">
        <v>14.6</v>
      </c>
      <c r="W21" s="24">
        <v>16.7</v>
      </c>
      <c r="X21" s="94">
        <v>25.9</v>
      </c>
      <c r="Y21" s="60">
        <f t="shared" ref="Y21:Y22" si="46">SUM(U21:X21)</f>
        <v>69.900000000000006</v>
      </c>
      <c r="AA21" s="24">
        <v>15.7</v>
      </c>
      <c r="AB21" s="24">
        <v>18.3</v>
      </c>
      <c r="AC21" s="24">
        <v>18.5</v>
      </c>
      <c r="AD21" s="94">
        <v>27.6</v>
      </c>
      <c r="AE21" s="60">
        <f t="shared" ref="AE21:AE22" si="47">SUM(AA21:AD21)</f>
        <v>80.099999999999994</v>
      </c>
      <c r="AG21" s="24">
        <v>16.100000000000001</v>
      </c>
      <c r="AH21" s="219"/>
      <c r="AI21" s="219"/>
      <c r="AJ21" s="222"/>
      <c r="AK21" s="223"/>
      <c r="AM21" s="222"/>
      <c r="AN21" s="24"/>
      <c r="AO21" s="24"/>
      <c r="AP21" s="24"/>
      <c r="AQ21" s="60"/>
      <c r="AS21" s="243"/>
      <c r="AT21" s="243"/>
      <c r="AU21" s="243"/>
      <c r="AV21" s="291"/>
      <c r="AW21" s="243"/>
      <c r="AY21" s="243"/>
      <c r="AZ21" s="243"/>
      <c r="BA21" s="243"/>
      <c r="BB21" s="291"/>
      <c r="BC21" s="243"/>
    </row>
    <row r="22" spans="1:55" ht="12.75" customHeight="1" x14ac:dyDescent="0.2">
      <c r="A22" s="2" t="s">
        <v>183</v>
      </c>
      <c r="C22" s="24">
        <v>0</v>
      </c>
      <c r="D22" s="24">
        <v>0</v>
      </c>
      <c r="E22" s="24">
        <v>0</v>
      </c>
      <c r="F22" s="94">
        <v>-0.5</v>
      </c>
      <c r="G22" s="60">
        <f t="shared" si="43"/>
        <v>-0.5</v>
      </c>
      <c r="I22" s="24">
        <v>0</v>
      </c>
      <c r="J22" s="24">
        <v>0</v>
      </c>
      <c r="K22" s="24">
        <v>-0.5</v>
      </c>
      <c r="L22" s="94">
        <v>-0.19999999999999996</v>
      </c>
      <c r="M22" s="60">
        <f t="shared" si="44"/>
        <v>-0.7</v>
      </c>
      <c r="O22" s="24">
        <v>0</v>
      </c>
      <c r="P22" s="24">
        <v>-0.3</v>
      </c>
      <c r="Q22" s="24">
        <v>0</v>
      </c>
      <c r="R22" s="94">
        <v>0</v>
      </c>
      <c r="S22" s="60">
        <f t="shared" si="45"/>
        <v>-0.3</v>
      </c>
      <c r="U22" s="24">
        <v>0</v>
      </c>
      <c r="V22" s="24">
        <v>-1.4</v>
      </c>
      <c r="W22" s="24">
        <v>-0.2</v>
      </c>
      <c r="X22" s="94">
        <v>-0.6</v>
      </c>
      <c r="Y22" s="60">
        <f t="shared" si="46"/>
        <v>-2.1999999999999997</v>
      </c>
      <c r="AA22" s="24">
        <v>-0.1</v>
      </c>
      <c r="AB22" s="24">
        <v>-0.7</v>
      </c>
      <c r="AC22" s="24">
        <v>0</v>
      </c>
      <c r="AD22" s="94">
        <v>-0.5</v>
      </c>
      <c r="AE22" s="60">
        <f t="shared" si="47"/>
        <v>-1.2999999999999998</v>
      </c>
      <c r="AG22" s="24">
        <v>0</v>
      </c>
      <c r="AH22" s="219"/>
      <c r="AI22" s="219"/>
      <c r="AJ22" s="222"/>
      <c r="AK22" s="223"/>
      <c r="AM22" s="222"/>
      <c r="AN22" s="24"/>
      <c r="AO22" s="24"/>
      <c r="AP22" s="24"/>
      <c r="AQ22" s="63"/>
      <c r="AS22" s="243"/>
      <c r="AT22" s="243"/>
      <c r="AU22" s="243"/>
      <c r="AV22" s="291"/>
      <c r="AW22" s="243"/>
      <c r="AY22" s="243"/>
      <c r="AZ22" s="243"/>
      <c r="BA22" s="243"/>
      <c r="BB22" s="291"/>
      <c r="BC22" s="243"/>
    </row>
    <row r="23" spans="1:55" s="41" customFormat="1" ht="12.75" customHeight="1" x14ac:dyDescent="0.2">
      <c r="A23" s="37" t="s">
        <v>150</v>
      </c>
      <c r="C23" s="64">
        <f>+SUM(C20:C22)</f>
        <v>192.70000000000002</v>
      </c>
      <c r="D23" s="64">
        <f t="shared" ref="D23" si="48">+SUM(D20:D22)</f>
        <v>299.29999999999995</v>
      </c>
      <c r="E23" s="64">
        <f t="shared" ref="E23" si="49">+SUM(E20:E22)</f>
        <v>314.39999999999998</v>
      </c>
      <c r="F23" s="100">
        <f t="shared" ref="F23" si="50">+SUM(F20:F22)</f>
        <v>302.00000000000006</v>
      </c>
      <c r="G23" s="65">
        <f t="shared" ref="G23" si="51">+SUM(G20:G22)</f>
        <v>1108.4000000000001</v>
      </c>
      <c r="H23" s="67"/>
      <c r="I23" s="64">
        <f t="shared" ref="I23" si="52">+SUM(I20:I22)</f>
        <v>266.89999999999998</v>
      </c>
      <c r="J23" s="64">
        <f t="shared" ref="J23" si="53">+SUM(J20:J22)</f>
        <v>324.00000000000006</v>
      </c>
      <c r="K23" s="64">
        <f t="shared" ref="K23" si="54">+SUM(K20:K22)</f>
        <v>301.60000000000002</v>
      </c>
      <c r="L23" s="100">
        <f t="shared" ref="L23" si="55">+SUM(L20:L22)</f>
        <v>254.60000000000002</v>
      </c>
      <c r="M23" s="65">
        <f t="shared" ref="M23" si="56">+SUM(M20:M22)</f>
        <v>1147.0999999999999</v>
      </c>
      <c r="N23" s="67"/>
      <c r="O23" s="64">
        <f t="shared" ref="O23" si="57">+SUM(O20:O22)</f>
        <v>219.9</v>
      </c>
      <c r="P23" s="64">
        <f t="shared" ref="P23" si="58">+SUM(P20:P22)</f>
        <v>262.59999999999997</v>
      </c>
      <c r="Q23" s="64">
        <f t="shared" ref="Q23" si="59">+SUM(Q20:Q22)</f>
        <v>249.09999999999997</v>
      </c>
      <c r="R23" s="100">
        <f t="shared" ref="R23" si="60">+SUM(R20:R22)</f>
        <v>287.70000000000005</v>
      </c>
      <c r="S23" s="65">
        <f>+SUM(S20:S22)</f>
        <v>1019.3000000000002</v>
      </c>
      <c r="U23" s="64">
        <f t="shared" ref="U23:X23" si="61">+SUM(U20:U22)</f>
        <v>252.99999999999997</v>
      </c>
      <c r="V23" s="64">
        <f t="shared" si="61"/>
        <v>291</v>
      </c>
      <c r="W23" s="64">
        <f t="shared" si="61"/>
        <v>316.7</v>
      </c>
      <c r="X23" s="64">
        <f t="shared" si="61"/>
        <v>293.99999999999989</v>
      </c>
      <c r="Y23" s="65">
        <f t="shared" ref="Y23" si="62">+SUM(Y20:Y22)</f>
        <v>1154.7</v>
      </c>
      <c r="AA23" s="64">
        <f t="shared" ref="AA23:AE23" si="63">+SUM(AA20:AA22)</f>
        <v>311.60000000000002</v>
      </c>
      <c r="AB23" s="64">
        <f t="shared" ref="AB23:AD23" si="64">+SUM(AB20:AB22)</f>
        <v>361.79999999999995</v>
      </c>
      <c r="AC23" s="64">
        <f t="shared" si="64"/>
        <v>351.7</v>
      </c>
      <c r="AD23" s="64">
        <f t="shared" si="64"/>
        <v>316.80000000000007</v>
      </c>
      <c r="AE23" s="65">
        <f t="shared" si="63"/>
        <v>1341.8999999999996</v>
      </c>
      <c r="AG23" s="64">
        <f t="shared" ref="AG23" si="65">+SUM(AG20:AG22)</f>
        <v>335.30000000000007</v>
      </c>
      <c r="AH23" s="220"/>
      <c r="AI23" s="220"/>
      <c r="AJ23" s="220"/>
      <c r="AK23" s="221"/>
      <c r="AM23" s="220"/>
      <c r="AN23" s="64"/>
      <c r="AO23" s="64"/>
      <c r="AP23" s="64"/>
      <c r="AQ23" s="65"/>
      <c r="AS23" s="244"/>
      <c r="AT23" s="244"/>
      <c r="AU23" s="244"/>
      <c r="AV23" s="292"/>
      <c r="AW23" s="244"/>
      <c r="AY23" s="244"/>
      <c r="AZ23" s="244"/>
      <c r="BA23" s="244"/>
      <c r="BB23" s="292"/>
      <c r="BC23" s="244"/>
    </row>
    <row r="24" spans="1:55" ht="12.75" customHeight="1" x14ac:dyDescent="0.2">
      <c r="A24" s="1"/>
      <c r="C24" s="22"/>
      <c r="D24" s="22"/>
      <c r="E24" s="22"/>
      <c r="F24" s="21"/>
      <c r="G24" s="50"/>
      <c r="I24" s="22"/>
      <c r="J24" s="22"/>
      <c r="K24" s="22"/>
      <c r="L24" s="21"/>
      <c r="M24" s="50"/>
      <c r="O24" s="22"/>
      <c r="P24" s="22"/>
      <c r="Q24" s="22"/>
      <c r="R24" s="21"/>
      <c r="S24" s="50"/>
      <c r="U24" s="22"/>
      <c r="V24" s="22"/>
      <c r="W24" s="22"/>
      <c r="X24" s="21"/>
      <c r="Y24" s="50"/>
      <c r="AA24" s="22"/>
      <c r="AB24" s="22"/>
      <c r="AC24" s="22"/>
      <c r="AD24" s="21"/>
      <c r="AE24" s="50"/>
      <c r="AG24" s="22"/>
      <c r="AH24" s="22"/>
      <c r="AI24" s="22"/>
      <c r="AJ24" s="21"/>
      <c r="AK24" s="50"/>
      <c r="AM24" s="22"/>
      <c r="AN24" s="22"/>
      <c r="AO24" s="22"/>
      <c r="AP24" s="21"/>
      <c r="AQ24" s="50"/>
      <c r="AS24" s="245"/>
      <c r="AT24" s="22"/>
      <c r="AU24" s="245"/>
      <c r="AV24" s="130"/>
      <c r="AW24" s="257"/>
      <c r="AY24" s="245"/>
      <c r="AZ24" s="22"/>
      <c r="BA24" s="245"/>
      <c r="BB24" s="130"/>
      <c r="BC24" s="257"/>
    </row>
    <row r="25" spans="1:55" ht="12.75" customHeight="1" x14ac:dyDescent="0.2">
      <c r="A25" s="1" t="s">
        <v>184</v>
      </c>
      <c r="G25" s="28"/>
      <c r="M25" s="28"/>
      <c r="N25"/>
      <c r="S25" s="28"/>
      <c r="Y25" s="28"/>
      <c r="AE25" s="28"/>
      <c r="AK25" s="28"/>
      <c r="AQ25" s="28"/>
      <c r="AS25" s="4"/>
      <c r="AU25" s="4"/>
      <c r="AW25" s="29"/>
      <c r="AY25" s="4"/>
      <c r="BA25" s="4"/>
      <c r="BC25" s="29"/>
    </row>
    <row r="26" spans="1:55" ht="12.75" customHeight="1" x14ac:dyDescent="0.2">
      <c r="A26" s="2" t="s">
        <v>180</v>
      </c>
      <c r="C26" s="24">
        <v>7.8</v>
      </c>
      <c r="D26" s="24">
        <v>32.799999999999997</v>
      </c>
      <c r="E26" s="24">
        <v>38.1</v>
      </c>
      <c r="F26" s="94">
        <v>31.9</v>
      </c>
      <c r="G26" s="60">
        <f>SUM(C26:F26)</f>
        <v>110.6</v>
      </c>
      <c r="I26" s="24">
        <v>18.7</v>
      </c>
      <c r="J26" s="24">
        <v>26.1</v>
      </c>
      <c r="K26" s="24">
        <v>27.5</v>
      </c>
      <c r="L26" s="94">
        <v>-9.3999999999999986</v>
      </c>
      <c r="M26" s="60">
        <f>SUM(I26:L26)</f>
        <v>62.9</v>
      </c>
      <c r="O26" s="24">
        <v>0.4</v>
      </c>
      <c r="P26" s="24">
        <v>4.3</v>
      </c>
      <c r="Q26" s="24">
        <v>3.8</v>
      </c>
      <c r="R26" s="94">
        <v>5.5999999999999988</v>
      </c>
      <c r="S26" s="60">
        <f>SUM(O26:R26)</f>
        <v>14.099999999999998</v>
      </c>
      <c r="U26" s="24">
        <v>5.6</v>
      </c>
      <c r="V26" s="24">
        <v>9.1</v>
      </c>
      <c r="W26" s="24">
        <v>12.3</v>
      </c>
      <c r="X26" s="94">
        <v>8.9</v>
      </c>
      <c r="Y26" s="60">
        <f>SUM(U26:X26)</f>
        <v>35.9</v>
      </c>
      <c r="AA26" s="24">
        <v>19.5</v>
      </c>
      <c r="AB26" s="24">
        <v>23</v>
      </c>
      <c r="AC26" s="24">
        <v>34.6</v>
      </c>
      <c r="AD26" s="94">
        <v>6</v>
      </c>
      <c r="AE26" s="60">
        <f>SUM(AA26:AD26)</f>
        <v>83.1</v>
      </c>
      <c r="AG26" s="24">
        <v>24.7</v>
      </c>
      <c r="AH26" s="24">
        <v>30</v>
      </c>
      <c r="AI26" s="24">
        <v>24</v>
      </c>
      <c r="AJ26" s="94">
        <v>27.2</v>
      </c>
      <c r="AK26" s="60">
        <f>SUM(AG26:AJ26)</f>
        <v>105.9</v>
      </c>
      <c r="AM26" s="24">
        <v>35.299999999999997</v>
      </c>
      <c r="AN26" s="24">
        <v>41.9</v>
      </c>
      <c r="AO26" s="24">
        <v>50.4</v>
      </c>
      <c r="AP26" s="94">
        <f>+AQ26-SUM(AM26:AO26)</f>
        <v>54</v>
      </c>
      <c r="AQ26" s="60">
        <v>181.6</v>
      </c>
      <c r="AS26" s="4">
        <v>52</v>
      </c>
      <c r="AT26" s="4">
        <v>67</v>
      </c>
      <c r="AU26" s="4">
        <v>66</v>
      </c>
      <c r="AV26" s="287">
        <v>67</v>
      </c>
      <c r="AW26" s="29">
        <f>+SUM(AS26:AV26)</f>
        <v>252</v>
      </c>
      <c r="AY26" s="4">
        <v>57</v>
      </c>
      <c r="AZ26" s="4">
        <v>66</v>
      </c>
      <c r="BA26" s="4">
        <v>74</v>
      </c>
      <c r="BB26" s="287"/>
      <c r="BC26" s="29">
        <f>+SUM(AY26:BB26)</f>
        <v>197</v>
      </c>
    </row>
    <row r="27" spans="1:55" ht="12.75" customHeight="1" x14ac:dyDescent="0.2">
      <c r="A27" s="2" t="s">
        <v>181</v>
      </c>
      <c r="C27" s="24">
        <v>10.6</v>
      </c>
      <c r="D27" s="24">
        <v>6.2</v>
      </c>
      <c r="E27" s="24">
        <v>3.3</v>
      </c>
      <c r="F27" s="94">
        <v>3.1</v>
      </c>
      <c r="G27" s="60">
        <f t="shared" ref="G27:G29" si="66">SUM(C27:F27)</f>
        <v>23.200000000000003</v>
      </c>
      <c r="I27" s="24">
        <v>-0.5</v>
      </c>
      <c r="J27" s="24">
        <v>4.5</v>
      </c>
      <c r="K27" s="24">
        <v>0.2</v>
      </c>
      <c r="L27" s="94">
        <v>1.2000000000000004</v>
      </c>
      <c r="M27" s="60">
        <f t="shared" ref="M27:M29" si="67">SUM(I27:L27)</f>
        <v>5.4</v>
      </c>
      <c r="O27" s="24">
        <v>0.1</v>
      </c>
      <c r="P27" s="24">
        <v>2</v>
      </c>
      <c r="Q27" s="24">
        <v>0.8</v>
      </c>
      <c r="R27" s="94">
        <v>-2.6</v>
      </c>
      <c r="S27" s="60">
        <f t="shared" ref="S27:S29" si="68">SUM(O27:R27)</f>
        <v>0.30000000000000027</v>
      </c>
      <c r="U27" s="24">
        <v>3.5</v>
      </c>
      <c r="V27" s="24">
        <v>5.5</v>
      </c>
      <c r="W27" s="24">
        <v>5.0999999999999996</v>
      </c>
      <c r="X27" s="94">
        <v>0.4</v>
      </c>
      <c r="Y27" s="60">
        <f t="shared" ref="Y27:Y29" si="69">SUM(U27:X27)</f>
        <v>14.5</v>
      </c>
      <c r="AA27" s="24">
        <v>5.5</v>
      </c>
      <c r="AB27" s="24">
        <v>7.6</v>
      </c>
      <c r="AC27" s="24">
        <v>9</v>
      </c>
      <c r="AD27" s="94">
        <v>6.4</v>
      </c>
      <c r="AE27" s="60">
        <f t="shared" ref="AE27:AE29" si="70">SUM(AA27:AD27)</f>
        <v>28.5</v>
      </c>
      <c r="AG27" s="24">
        <v>10.4</v>
      </c>
      <c r="AH27" s="24">
        <v>7.2</v>
      </c>
      <c r="AI27" s="24">
        <v>2.4</v>
      </c>
      <c r="AJ27" s="94">
        <v>8.5</v>
      </c>
      <c r="AK27" s="60">
        <f t="shared" ref="AK27:AK29" si="71">SUM(AG27:AJ27)</f>
        <v>28.5</v>
      </c>
      <c r="AM27" s="24">
        <v>18</v>
      </c>
      <c r="AN27" s="24">
        <v>17.100000000000001</v>
      </c>
      <c r="AO27" s="24">
        <v>13.1</v>
      </c>
      <c r="AP27" s="94">
        <f t="shared" ref="AP27:AP29" si="72">+AQ27-SUM(AM27:AO27)</f>
        <v>10.5</v>
      </c>
      <c r="AQ27" s="60">
        <v>58.7</v>
      </c>
      <c r="AS27" s="4">
        <v>16</v>
      </c>
      <c r="AT27" s="4">
        <v>21</v>
      </c>
      <c r="AU27" s="4">
        <v>14</v>
      </c>
      <c r="AV27" s="287">
        <v>13</v>
      </c>
      <c r="AW27" s="29">
        <f>+SUM(AS27:AV27)</f>
        <v>64</v>
      </c>
      <c r="AY27" s="4">
        <v>18</v>
      </c>
      <c r="AZ27" s="4">
        <v>31</v>
      </c>
      <c r="BA27" s="4">
        <v>22</v>
      </c>
      <c r="BB27" s="287"/>
      <c r="BC27" s="29">
        <f>+SUM(AY27:BB27)</f>
        <v>71</v>
      </c>
    </row>
    <row r="28" spans="1:55" ht="12.75" customHeight="1" x14ac:dyDescent="0.2">
      <c r="A28" s="2" t="s">
        <v>182</v>
      </c>
      <c r="C28" s="24">
        <v>0.9</v>
      </c>
      <c r="D28" s="24">
        <v>5.4</v>
      </c>
      <c r="E28" s="24">
        <v>2.8</v>
      </c>
      <c r="F28" s="94">
        <v>2.2999999999999998</v>
      </c>
      <c r="G28" s="60">
        <f t="shared" si="66"/>
        <v>11.400000000000002</v>
      </c>
      <c r="H28" s="24"/>
      <c r="I28" s="24">
        <v>5.8</v>
      </c>
      <c r="J28" s="24">
        <v>3.8</v>
      </c>
      <c r="K28" s="24">
        <v>2.1</v>
      </c>
      <c r="L28" s="94">
        <v>3.9999999999999987</v>
      </c>
      <c r="M28" s="60">
        <f t="shared" si="67"/>
        <v>15.699999999999998</v>
      </c>
      <c r="N28" s="24"/>
      <c r="O28" s="24">
        <v>2.2999999999999998</v>
      </c>
      <c r="P28" s="24">
        <v>4.5999999999999996</v>
      </c>
      <c r="Q28" s="24">
        <v>4.0999999999999996</v>
      </c>
      <c r="R28" s="94">
        <v>2.5</v>
      </c>
      <c r="S28" s="60">
        <f t="shared" si="68"/>
        <v>13.5</v>
      </c>
      <c r="U28" s="24">
        <v>2.9</v>
      </c>
      <c r="V28" s="24">
        <v>4.0999999999999996</v>
      </c>
      <c r="W28" s="24">
        <v>4.4000000000000004</v>
      </c>
      <c r="X28" s="94">
        <v>3.8</v>
      </c>
      <c r="Y28" s="60">
        <f t="shared" si="69"/>
        <v>15.2</v>
      </c>
      <c r="AA28" s="24">
        <v>7.9</v>
      </c>
      <c r="AB28" s="24">
        <v>14.5</v>
      </c>
      <c r="AC28" s="24">
        <v>4.5</v>
      </c>
      <c r="AD28" s="94">
        <v>5.9</v>
      </c>
      <c r="AE28" s="60">
        <f t="shared" si="70"/>
        <v>32.799999999999997</v>
      </c>
      <c r="AG28" s="24">
        <v>3.7</v>
      </c>
      <c r="AH28" s="24">
        <v>1.8</v>
      </c>
      <c r="AI28" s="24">
        <v>8.6999999999999993</v>
      </c>
      <c r="AJ28" s="94">
        <v>11.5</v>
      </c>
      <c r="AK28" s="60">
        <f t="shared" si="71"/>
        <v>25.7</v>
      </c>
      <c r="AM28" s="24">
        <v>3.9</v>
      </c>
      <c r="AN28" s="24">
        <v>5.7</v>
      </c>
      <c r="AO28" s="24">
        <v>5.5</v>
      </c>
      <c r="AP28" s="94">
        <f t="shared" si="72"/>
        <v>3.5000000000000018</v>
      </c>
      <c r="AQ28" s="60">
        <v>18.600000000000001</v>
      </c>
      <c r="AS28" s="4">
        <v>6</v>
      </c>
      <c r="AT28" s="4">
        <v>5</v>
      </c>
      <c r="AU28" s="4">
        <v>8</v>
      </c>
      <c r="AV28" s="287">
        <v>6</v>
      </c>
      <c r="AW28" s="29">
        <f>+SUM(AS28:AV28)</f>
        <v>25</v>
      </c>
      <c r="AY28" s="4">
        <v>13</v>
      </c>
      <c r="AZ28" s="4">
        <v>14</v>
      </c>
      <c r="BA28" s="4">
        <v>23</v>
      </c>
      <c r="BB28" s="287"/>
      <c r="BC28" s="29">
        <f>+SUM(AY28:BB28)</f>
        <v>50</v>
      </c>
    </row>
    <row r="29" spans="1:55" ht="12.75" customHeight="1" x14ac:dyDescent="0.2">
      <c r="A29" s="36" t="s">
        <v>187</v>
      </c>
      <c r="B29" s="36"/>
      <c r="C29" s="62">
        <v>-1.5</v>
      </c>
      <c r="D29" s="62">
        <v>-1.5</v>
      </c>
      <c r="E29" s="62">
        <v>-0.4</v>
      </c>
      <c r="F29" s="182">
        <v>-3.5</v>
      </c>
      <c r="G29" s="63">
        <f t="shared" si="66"/>
        <v>-6.9</v>
      </c>
      <c r="H29" s="24"/>
      <c r="I29" s="62">
        <v>-3.6</v>
      </c>
      <c r="J29" s="62">
        <v>-2.2999999999999998</v>
      </c>
      <c r="K29" s="62">
        <v>-3.7</v>
      </c>
      <c r="L29" s="182">
        <v>-4.2000000000000011</v>
      </c>
      <c r="M29" s="63">
        <f t="shared" si="67"/>
        <v>-13.800000000000002</v>
      </c>
      <c r="N29" s="24"/>
      <c r="O29" s="62">
        <v>-5.2</v>
      </c>
      <c r="P29" s="62">
        <v>-1.5</v>
      </c>
      <c r="Q29" s="62">
        <v>-1.8</v>
      </c>
      <c r="R29" s="182">
        <v>-4.3000000000000007</v>
      </c>
      <c r="S29" s="63">
        <f t="shared" si="68"/>
        <v>-12.8</v>
      </c>
      <c r="U29" s="62">
        <v>-1.8</v>
      </c>
      <c r="V29" s="62">
        <v>-2.6999999999999993</v>
      </c>
      <c r="W29" s="62">
        <v>-0.4</v>
      </c>
      <c r="X29" s="182">
        <v>-4</v>
      </c>
      <c r="Y29" s="63">
        <f t="shared" si="69"/>
        <v>-8.8999999999999986</v>
      </c>
      <c r="AA29" s="62">
        <v>-2.7</v>
      </c>
      <c r="AB29" s="62">
        <v>-2.7</v>
      </c>
      <c r="AC29" s="62">
        <v>-3.3</v>
      </c>
      <c r="AD29" s="182">
        <v>-4.5999999999999996</v>
      </c>
      <c r="AE29" s="63">
        <f t="shared" si="70"/>
        <v>-13.299999999999999</v>
      </c>
      <c r="AG29" s="62">
        <v>-0.5</v>
      </c>
      <c r="AH29" s="62">
        <v>2.2999999999999998</v>
      </c>
      <c r="AI29" s="62">
        <v>0.1</v>
      </c>
      <c r="AJ29" s="182">
        <v>-7.5</v>
      </c>
      <c r="AK29" s="63">
        <f t="shared" si="71"/>
        <v>-5.6</v>
      </c>
      <c r="AM29" s="62">
        <v>-0.3</v>
      </c>
      <c r="AN29" s="62">
        <v>-6.7</v>
      </c>
      <c r="AO29" s="62">
        <v>7.5</v>
      </c>
      <c r="AP29" s="94">
        <f t="shared" si="72"/>
        <v>-4.8</v>
      </c>
      <c r="AQ29" s="60">
        <v>-4.3</v>
      </c>
      <c r="AS29" s="242">
        <v>1</v>
      </c>
      <c r="AT29" s="242">
        <v>-7</v>
      </c>
      <c r="AU29" s="242">
        <v>5</v>
      </c>
      <c r="AV29" s="287">
        <v>4</v>
      </c>
      <c r="AW29" s="29">
        <v>3</v>
      </c>
      <c r="AY29" s="242">
        <v>-7</v>
      </c>
      <c r="AZ29" s="242">
        <v>-6</v>
      </c>
      <c r="BA29" s="242">
        <v>0</v>
      </c>
      <c r="BB29" s="287"/>
      <c r="BC29" s="29">
        <v>-13</v>
      </c>
    </row>
    <row r="30" spans="1:55" s="41" customFormat="1" ht="12.75" customHeight="1" x14ac:dyDescent="0.2">
      <c r="A30" s="37" t="s">
        <v>141</v>
      </c>
      <c r="C30" s="64">
        <f>+SUM(C26:C29)</f>
        <v>17.799999999999997</v>
      </c>
      <c r="D30" s="64">
        <f t="shared" ref="D30" si="73">+SUM(D26:D29)</f>
        <v>42.9</v>
      </c>
      <c r="E30" s="64">
        <f t="shared" ref="E30" si="74">+SUM(E26:E29)</f>
        <v>43.8</v>
      </c>
      <c r="F30" s="100">
        <f t="shared" ref="F30" si="75">+SUM(F26:F29)</f>
        <v>33.799999999999997</v>
      </c>
      <c r="G30" s="65">
        <f>+SUM(G26:G29)</f>
        <v>138.30000000000001</v>
      </c>
      <c r="H30" s="67"/>
      <c r="I30" s="64">
        <f>+SUM(I26:I29)</f>
        <v>20.399999999999999</v>
      </c>
      <c r="J30" s="64">
        <f t="shared" ref="J30" si="76">+SUM(J26:J29)</f>
        <v>32.1</v>
      </c>
      <c r="K30" s="64">
        <f t="shared" ref="K30" si="77">+SUM(K26:K29)</f>
        <v>26.1</v>
      </c>
      <c r="L30" s="100">
        <f t="shared" ref="L30" si="78">+SUM(L26:L29)</f>
        <v>-8.4</v>
      </c>
      <c r="M30" s="65">
        <f>+SUM(M26:M29)</f>
        <v>70.2</v>
      </c>
      <c r="N30" s="67"/>
      <c r="O30" s="64">
        <f>+SUM(O26:O29)</f>
        <v>-2.4000000000000004</v>
      </c>
      <c r="P30" s="64">
        <f t="shared" ref="P30" si="79">+SUM(P26:P29)</f>
        <v>9.3999999999999986</v>
      </c>
      <c r="Q30" s="64">
        <f t="shared" ref="Q30" si="80">+SUM(Q26:Q29)</f>
        <v>6.8999999999999995</v>
      </c>
      <c r="R30" s="100">
        <f t="shared" ref="R30" si="81">+SUM(R26:R29)</f>
        <v>1.1999999999999975</v>
      </c>
      <c r="S30" s="65">
        <f>+SUM(S26:S29)</f>
        <v>15.099999999999998</v>
      </c>
      <c r="U30" s="64">
        <f>+SUM(U26:U29)</f>
        <v>10.199999999999999</v>
      </c>
      <c r="V30" s="64">
        <f>+SUM(V26:V29)</f>
        <v>16</v>
      </c>
      <c r="W30" s="64">
        <f>+SUM(W26:W29)</f>
        <v>21.4</v>
      </c>
      <c r="X30" s="64">
        <f>+SUM(X26:X29)</f>
        <v>9.1000000000000014</v>
      </c>
      <c r="Y30" s="65">
        <f>+SUM(Y26:Y29)</f>
        <v>56.699999999999996</v>
      </c>
      <c r="AA30" s="64">
        <f>+SUM(AA26:AA29)</f>
        <v>30.2</v>
      </c>
      <c r="AB30" s="64">
        <f t="shared" ref="AB30:AD30" si="82">+SUM(AB26:AB29)</f>
        <v>42.4</v>
      </c>
      <c r="AC30" s="64">
        <f t="shared" si="82"/>
        <v>44.800000000000004</v>
      </c>
      <c r="AD30" s="64">
        <f t="shared" si="82"/>
        <v>13.700000000000001</v>
      </c>
      <c r="AE30" s="65">
        <f>+SUM(AE26:AE29)</f>
        <v>131.09999999999997</v>
      </c>
      <c r="AG30" s="64">
        <f>+SUM(AG26:AG29)</f>
        <v>38.300000000000004</v>
      </c>
      <c r="AH30" s="64">
        <f t="shared" ref="AH30:AJ30" si="83">+SUM(AH26:AH29)</f>
        <v>41.3</v>
      </c>
      <c r="AI30" s="64">
        <f t="shared" si="83"/>
        <v>35.199999999999996</v>
      </c>
      <c r="AJ30" s="64">
        <f t="shared" si="83"/>
        <v>39.700000000000003</v>
      </c>
      <c r="AK30" s="65">
        <f>+SUM(AK26:AK29)</f>
        <v>154.5</v>
      </c>
      <c r="AM30" s="64">
        <f>+SUM(AM26:AM29)</f>
        <v>56.9</v>
      </c>
      <c r="AN30" s="64">
        <f>+SUM(AN26:AN29)</f>
        <v>58</v>
      </c>
      <c r="AO30" s="64">
        <f>+SUM(AO26:AO29)</f>
        <v>76.5</v>
      </c>
      <c r="AP30" s="64">
        <f>+SUM(AP26:AP29)</f>
        <v>63.2</v>
      </c>
      <c r="AQ30" s="65">
        <f>+SUM(AQ26:AQ29)</f>
        <v>254.60000000000002</v>
      </c>
      <c r="AS30" s="38">
        <f>+SUM(AS26:AS29)</f>
        <v>75</v>
      </c>
      <c r="AT30" s="38">
        <f>+SUM(AT26:AT29)</f>
        <v>86</v>
      </c>
      <c r="AU30" s="38">
        <f>+SUM(AU26:AU29)</f>
        <v>93</v>
      </c>
      <c r="AV30" s="288">
        <f>+SUM(AV26:AV29)</f>
        <v>90</v>
      </c>
      <c r="AW30" s="255">
        <f>+SUM(AS30:AV30)</f>
        <v>344</v>
      </c>
      <c r="AY30" s="38">
        <f>+SUM(AY26:AY29)</f>
        <v>81</v>
      </c>
      <c r="AZ30" s="38">
        <f>+SUM(AZ26:AZ29)</f>
        <v>105</v>
      </c>
      <c r="BA30" s="38">
        <f>+SUM(BA26:BA29)</f>
        <v>119</v>
      </c>
      <c r="BB30" s="288"/>
      <c r="BC30" s="255">
        <f>+SUM(AY30:BB30)</f>
        <v>305</v>
      </c>
    </row>
    <row r="31" spans="1:55" ht="12.75" customHeight="1" x14ac:dyDescent="0.2">
      <c r="A31" s="2" t="s">
        <v>140</v>
      </c>
      <c r="C31" s="24">
        <v>-2.1</v>
      </c>
      <c r="D31" s="24">
        <v>0.7</v>
      </c>
      <c r="E31" s="24">
        <v>-0.8</v>
      </c>
      <c r="F31" s="94">
        <v>5.7</v>
      </c>
      <c r="G31" s="60">
        <f t="shared" ref="G31:G32" si="84">SUM(C31:F31)</f>
        <v>3.5</v>
      </c>
      <c r="H31" s="24"/>
      <c r="I31" s="24">
        <v>-1.5</v>
      </c>
      <c r="J31" s="24">
        <v>1</v>
      </c>
      <c r="K31" s="24">
        <v>1.5</v>
      </c>
      <c r="L31" s="94">
        <v>8</v>
      </c>
      <c r="M31" s="60">
        <f t="shared" ref="M31:M32" si="85">SUM(I31:L31)</f>
        <v>9</v>
      </c>
      <c r="N31" s="24"/>
      <c r="O31" s="24">
        <v>-0.4</v>
      </c>
      <c r="P31" s="24">
        <v>3.9</v>
      </c>
      <c r="Q31" s="24">
        <v>3.9</v>
      </c>
      <c r="R31" s="94">
        <v>7.1999999999999993</v>
      </c>
      <c r="S31" s="60">
        <f t="shared" ref="S31:S32" si="86">SUM(O31:R31)</f>
        <v>14.6</v>
      </c>
      <c r="U31" s="24">
        <v>-1.8</v>
      </c>
      <c r="V31" s="24">
        <v>-0.8</v>
      </c>
      <c r="W31" s="24">
        <v>1</v>
      </c>
      <c r="X31" s="94">
        <v>4.2</v>
      </c>
      <c r="Y31" s="60">
        <f t="shared" ref="Y31:Y32" si="87">SUM(U31:X31)</f>
        <v>2.6</v>
      </c>
      <c r="AA31" s="24">
        <v>-1.2</v>
      </c>
      <c r="AB31" s="24">
        <v>0</v>
      </c>
      <c r="AC31" s="24">
        <v>3.2</v>
      </c>
      <c r="AD31" s="94">
        <v>5.5</v>
      </c>
      <c r="AE31" s="60">
        <f t="shared" ref="AE31:AE32" si="88">SUM(AA31:AD31)</f>
        <v>7.5</v>
      </c>
      <c r="AG31" s="24">
        <v>-1.7</v>
      </c>
      <c r="AH31" s="219"/>
      <c r="AI31" s="219"/>
      <c r="AJ31" s="222"/>
      <c r="AK31" s="223"/>
      <c r="AM31" s="223"/>
      <c r="AN31" s="24"/>
      <c r="AO31" s="24"/>
      <c r="AP31" s="24"/>
      <c r="AQ31" s="60"/>
      <c r="AS31" s="246"/>
      <c r="AT31" s="240"/>
      <c r="AU31" s="240"/>
      <c r="AV31" s="289"/>
      <c r="AW31" s="240"/>
      <c r="AY31" s="246"/>
      <c r="AZ31" s="240"/>
      <c r="BA31" s="240"/>
      <c r="BB31" s="289"/>
      <c r="BC31" s="240"/>
    </row>
    <row r="32" spans="1:55" ht="12.75" customHeight="1" x14ac:dyDescent="0.2">
      <c r="A32" s="2" t="s">
        <v>183</v>
      </c>
      <c r="C32" s="24">
        <v>0</v>
      </c>
      <c r="D32" s="24">
        <v>0</v>
      </c>
      <c r="E32" s="24">
        <v>0</v>
      </c>
      <c r="F32" s="94">
        <v>0</v>
      </c>
      <c r="G32" s="60">
        <f t="shared" si="84"/>
        <v>0</v>
      </c>
      <c r="H32" s="24"/>
      <c r="I32" s="24">
        <v>0</v>
      </c>
      <c r="J32" s="24">
        <v>0</v>
      </c>
      <c r="K32" s="24">
        <v>0</v>
      </c>
      <c r="L32" s="94">
        <v>0.1</v>
      </c>
      <c r="M32" s="60">
        <f t="shared" si="85"/>
        <v>0.1</v>
      </c>
      <c r="N32" s="24"/>
      <c r="O32" s="24">
        <v>0</v>
      </c>
      <c r="P32" s="24">
        <v>0</v>
      </c>
      <c r="Q32" s="24">
        <v>0</v>
      </c>
      <c r="R32" s="94">
        <v>0</v>
      </c>
      <c r="S32" s="60">
        <f t="shared" si="86"/>
        <v>0</v>
      </c>
      <c r="U32" s="24">
        <v>0</v>
      </c>
      <c r="V32" s="24">
        <v>0</v>
      </c>
      <c r="W32" s="24">
        <v>0</v>
      </c>
      <c r="X32" s="94">
        <v>0</v>
      </c>
      <c r="Y32" s="60">
        <f t="shared" si="87"/>
        <v>0</v>
      </c>
      <c r="AA32" s="24">
        <v>0</v>
      </c>
      <c r="AB32" s="24">
        <v>0</v>
      </c>
      <c r="AC32" s="24">
        <v>0</v>
      </c>
      <c r="AD32" s="94">
        <v>0</v>
      </c>
      <c r="AE32" s="60">
        <f t="shared" si="88"/>
        <v>0</v>
      </c>
      <c r="AG32" s="24">
        <v>0</v>
      </c>
      <c r="AH32" s="219"/>
      <c r="AI32" s="219"/>
      <c r="AJ32" s="222"/>
      <c r="AK32" s="223"/>
      <c r="AM32" s="223"/>
      <c r="AN32" s="24"/>
      <c r="AO32" s="24"/>
      <c r="AP32" s="24"/>
      <c r="AQ32" s="63"/>
      <c r="AS32" s="246"/>
      <c r="AT32" s="240"/>
      <c r="AU32" s="240"/>
      <c r="AV32" s="289"/>
      <c r="AW32" s="240"/>
      <c r="AY32" s="246"/>
      <c r="AZ32" s="240"/>
      <c r="BA32" s="240"/>
      <c r="BB32" s="289"/>
      <c r="BC32" s="240"/>
    </row>
    <row r="33" spans="1:55" s="41" customFormat="1" ht="12.75" customHeight="1" x14ac:dyDescent="0.2">
      <c r="A33" s="37" t="s">
        <v>150</v>
      </c>
      <c r="C33" s="64">
        <f>+SUM(C30:C32)</f>
        <v>15.699999999999998</v>
      </c>
      <c r="D33" s="64">
        <f t="shared" ref="D33" si="89">+SUM(D30:D32)</f>
        <v>43.6</v>
      </c>
      <c r="E33" s="64">
        <f t="shared" ref="E33" si="90">+SUM(E30:E32)</f>
        <v>43</v>
      </c>
      <c r="F33" s="100">
        <f t="shared" ref="F33" si="91">+SUM(F30:F32)</f>
        <v>39.5</v>
      </c>
      <c r="G33" s="65">
        <f t="shared" ref="G33" si="92">+SUM(G30:G32)</f>
        <v>141.80000000000001</v>
      </c>
      <c r="H33" s="67"/>
      <c r="I33" s="64">
        <f t="shared" ref="I33" si="93">+SUM(I30:I32)</f>
        <v>18.899999999999999</v>
      </c>
      <c r="J33" s="64">
        <f t="shared" ref="J33" si="94">+SUM(J30:J32)</f>
        <v>33.1</v>
      </c>
      <c r="K33" s="64">
        <f t="shared" ref="K33" si="95">+SUM(K30:K32)</f>
        <v>27.6</v>
      </c>
      <c r="L33" s="100">
        <f t="shared" ref="L33" si="96">+SUM(L30:L32)</f>
        <v>-0.30000000000000038</v>
      </c>
      <c r="M33" s="65">
        <f t="shared" ref="M33" si="97">+SUM(M30:M32)</f>
        <v>79.3</v>
      </c>
      <c r="N33" s="67"/>
      <c r="O33" s="64">
        <f t="shared" ref="O33" si="98">+SUM(O30:O32)</f>
        <v>-2.8000000000000003</v>
      </c>
      <c r="P33" s="64">
        <f t="shared" ref="P33" si="99">+SUM(P30:P32)</f>
        <v>13.299999999999999</v>
      </c>
      <c r="Q33" s="64">
        <f t="shared" ref="Q33" si="100">+SUM(Q30:Q32)</f>
        <v>10.799999999999999</v>
      </c>
      <c r="R33" s="100">
        <f t="shared" ref="R33" si="101">+SUM(R30:R32)</f>
        <v>8.3999999999999968</v>
      </c>
      <c r="S33" s="65">
        <f>+SUM(S30:S32)</f>
        <v>29.699999999999996</v>
      </c>
      <c r="U33" s="64">
        <f t="shared" ref="U33:X33" si="102">+SUM(U30:U32)</f>
        <v>8.3999999999999986</v>
      </c>
      <c r="V33" s="64">
        <f t="shared" si="102"/>
        <v>15.2</v>
      </c>
      <c r="W33" s="64">
        <f t="shared" si="102"/>
        <v>22.4</v>
      </c>
      <c r="X33" s="64">
        <f t="shared" si="102"/>
        <v>13.3</v>
      </c>
      <c r="Y33" s="65">
        <f t="shared" ref="Y33" si="103">+SUM(Y30:Y32)</f>
        <v>59.3</v>
      </c>
      <c r="AA33" s="64">
        <f t="shared" ref="AA33:AE33" si="104">+SUM(AA30:AA32)</f>
        <v>29</v>
      </c>
      <c r="AB33" s="64">
        <f t="shared" ref="AB33:AD33" si="105">+SUM(AB30:AB32)</f>
        <v>42.4</v>
      </c>
      <c r="AC33" s="64">
        <f t="shared" si="105"/>
        <v>48.000000000000007</v>
      </c>
      <c r="AD33" s="64">
        <f t="shared" si="105"/>
        <v>19.200000000000003</v>
      </c>
      <c r="AE33" s="65">
        <f t="shared" si="104"/>
        <v>138.59999999999997</v>
      </c>
      <c r="AG33" s="64">
        <f t="shared" ref="AG33" si="106">+SUM(AG30:AG32)</f>
        <v>36.6</v>
      </c>
      <c r="AH33" s="220"/>
      <c r="AI33" s="220"/>
      <c r="AJ33" s="220"/>
      <c r="AK33" s="221"/>
      <c r="AM33" s="221"/>
      <c r="AN33" s="64"/>
      <c r="AO33" s="64"/>
      <c r="AP33" s="64"/>
      <c r="AQ33" s="65"/>
      <c r="AS33" s="247"/>
      <c r="AT33" s="240"/>
      <c r="AU33" s="240"/>
      <c r="AV33" s="289"/>
      <c r="AW33" s="240"/>
      <c r="AY33" s="247"/>
      <c r="AZ33" s="240"/>
      <c r="BA33" s="240"/>
      <c r="BB33" s="289"/>
      <c r="BC33" s="240"/>
    </row>
    <row r="34" spans="1:55" s="49" customFormat="1" ht="12.75" customHeight="1" x14ac:dyDescent="0.2">
      <c r="C34" s="52"/>
      <c r="D34" s="52"/>
      <c r="E34" s="52"/>
      <c r="F34" s="52"/>
      <c r="G34" s="53"/>
      <c r="I34" s="52"/>
      <c r="J34" s="52"/>
      <c r="K34" s="52"/>
      <c r="L34" s="52"/>
      <c r="M34" s="53"/>
      <c r="O34" s="52"/>
      <c r="P34" s="52"/>
      <c r="Q34" s="52"/>
      <c r="R34" s="52"/>
      <c r="S34" s="53"/>
      <c r="U34" s="52"/>
      <c r="V34" s="52"/>
      <c r="W34" s="52"/>
      <c r="X34" s="52"/>
      <c r="Y34" s="53"/>
      <c r="AA34" s="52"/>
      <c r="AB34" s="52"/>
      <c r="AC34" s="52"/>
      <c r="AD34" s="52"/>
      <c r="AE34" s="53"/>
      <c r="AG34" s="52"/>
      <c r="AH34" s="52"/>
      <c r="AI34" s="52"/>
      <c r="AJ34" s="52"/>
      <c r="AK34" s="53"/>
      <c r="AM34" s="52"/>
      <c r="AN34" s="52"/>
      <c r="AO34" s="52"/>
      <c r="AP34" s="52"/>
      <c r="AQ34" s="53"/>
      <c r="AS34" s="248"/>
      <c r="AT34" s="52"/>
      <c r="AU34" s="248"/>
      <c r="AV34" s="293"/>
      <c r="AW34" s="258"/>
      <c r="AY34" s="248"/>
      <c r="AZ34" s="52"/>
      <c r="BA34" s="248"/>
      <c r="BB34" s="293"/>
      <c r="BC34" s="258"/>
    </row>
    <row r="35" spans="1:55" s="1" customFormat="1" ht="12.75" customHeight="1" x14ac:dyDescent="0.2">
      <c r="A35" s="2" t="s">
        <v>185</v>
      </c>
      <c r="C35" s="192">
        <v>-14.6</v>
      </c>
      <c r="D35" s="192">
        <v>-5.0999999999999996</v>
      </c>
      <c r="E35" s="192">
        <v>-7.5</v>
      </c>
      <c r="F35" s="192">
        <v>-17.7</v>
      </c>
      <c r="G35" s="191">
        <f t="shared" ref="G35" si="107">SUM(C35:F35)</f>
        <v>-44.9</v>
      </c>
      <c r="H35" s="154"/>
      <c r="I35" s="192">
        <v>-3.1</v>
      </c>
      <c r="J35" s="192">
        <v>-7.5</v>
      </c>
      <c r="K35" s="192">
        <v>-9.8000000000000007</v>
      </c>
      <c r="L35" s="192">
        <f>+M35-I35-J35-K35</f>
        <v>-9.0999999999999979</v>
      </c>
      <c r="M35" s="191">
        <v>-29.5</v>
      </c>
      <c r="N35" s="154"/>
      <c r="O35" s="192">
        <v>3</v>
      </c>
      <c r="P35" s="192">
        <v>-3.9</v>
      </c>
      <c r="Q35" s="192">
        <v>-4.9000000000000004</v>
      </c>
      <c r="R35" s="192">
        <f>+S35-O35-P35-Q35</f>
        <v>-6.1999999999999993</v>
      </c>
      <c r="S35" s="191">
        <v>-12</v>
      </c>
      <c r="U35" s="192">
        <v>-0.4</v>
      </c>
      <c r="V35" s="192">
        <v>-8.6999999999999993</v>
      </c>
      <c r="W35" s="192">
        <v>-1</v>
      </c>
      <c r="X35" s="190">
        <v>0.2</v>
      </c>
      <c r="Y35" s="60">
        <f>SUM(U35:X35)</f>
        <v>-9.9</v>
      </c>
      <c r="AA35" s="192">
        <v>1.8</v>
      </c>
      <c r="AB35" s="192">
        <v>0</v>
      </c>
      <c r="AC35" s="192">
        <v>-14.5</v>
      </c>
      <c r="AD35" s="190">
        <v>0</v>
      </c>
      <c r="AE35" s="60">
        <f>SUM(AA35:AD35)</f>
        <v>-12.7</v>
      </c>
      <c r="AG35" s="192">
        <v>8.5</v>
      </c>
      <c r="AH35" s="192">
        <v>-0.4</v>
      </c>
      <c r="AI35" s="192">
        <v>0</v>
      </c>
      <c r="AJ35" s="192">
        <v>0</v>
      </c>
      <c r="AK35" s="233">
        <v>0.1</v>
      </c>
      <c r="AL35" s="1" t="s">
        <v>207</v>
      </c>
      <c r="AM35" s="192">
        <v>0</v>
      </c>
      <c r="AN35" s="192">
        <v>0</v>
      </c>
      <c r="AO35" s="192">
        <v>0</v>
      </c>
      <c r="AP35" s="192">
        <v>0</v>
      </c>
      <c r="AQ35" s="233">
        <v>0</v>
      </c>
      <c r="AS35" s="249">
        <v>0</v>
      </c>
      <c r="AT35" s="270">
        <v>-1</v>
      </c>
      <c r="AU35" s="249">
        <v>0</v>
      </c>
      <c r="AV35" s="294">
        <v>0</v>
      </c>
      <c r="AW35" s="259">
        <f>+AS35+AT35</f>
        <v>-1</v>
      </c>
      <c r="AY35" s="249">
        <v>0</v>
      </c>
      <c r="AZ35" s="270">
        <v>0</v>
      </c>
      <c r="BA35" s="249">
        <v>0</v>
      </c>
      <c r="BB35" s="294"/>
      <c r="BC35" s="259">
        <f>+AY35+AZ35</f>
        <v>0</v>
      </c>
    </row>
    <row r="36" spans="1:55" s="1" customFormat="1" ht="12.75" customHeight="1" x14ac:dyDescent="0.2">
      <c r="C36" s="21"/>
      <c r="D36" s="21"/>
      <c r="E36" s="21"/>
      <c r="F36" s="21"/>
      <c r="G36" s="50"/>
      <c r="I36" s="21"/>
      <c r="J36" s="21"/>
      <c r="K36" s="21"/>
      <c r="L36" s="21"/>
      <c r="M36" s="50"/>
      <c r="O36" s="21"/>
      <c r="P36" s="21"/>
      <c r="Q36" s="21"/>
      <c r="R36" s="21"/>
      <c r="S36" s="50"/>
      <c r="U36" s="21"/>
      <c r="V36" s="21"/>
      <c r="W36" s="21"/>
      <c r="X36" s="21"/>
      <c r="Y36" s="50"/>
      <c r="AA36" s="21"/>
      <c r="AB36" s="21"/>
      <c r="AC36" s="21"/>
      <c r="AD36" s="21"/>
      <c r="AE36" s="50"/>
      <c r="AG36" s="21"/>
      <c r="AH36" s="21"/>
      <c r="AI36" s="21"/>
      <c r="AJ36" s="21"/>
      <c r="AK36" s="50"/>
      <c r="AM36" s="21"/>
      <c r="AN36" s="21"/>
      <c r="AO36" s="21"/>
      <c r="AP36" s="21"/>
      <c r="AQ36" s="50"/>
      <c r="AS36" s="250"/>
      <c r="AT36" s="21"/>
      <c r="AU36" s="250"/>
      <c r="AV36" s="130"/>
      <c r="AW36" s="257"/>
      <c r="AY36" s="250"/>
      <c r="AZ36" s="21"/>
      <c r="BA36" s="250"/>
      <c r="BB36" s="130"/>
      <c r="BC36" s="257"/>
    </row>
    <row r="37" spans="1:55" s="1" customFormat="1" ht="12.75" customHeight="1" x14ac:dyDescent="0.2">
      <c r="A37" s="1" t="s">
        <v>1</v>
      </c>
      <c r="C37" s="21"/>
      <c r="D37" s="21"/>
      <c r="E37" s="21"/>
      <c r="F37" s="21"/>
      <c r="G37" s="50"/>
      <c r="I37" s="21"/>
      <c r="J37" s="21"/>
      <c r="K37" s="21"/>
      <c r="L37" s="21"/>
      <c r="M37" s="50"/>
      <c r="O37" s="21"/>
      <c r="P37" s="21"/>
      <c r="Q37" s="21"/>
      <c r="R37" s="21"/>
      <c r="S37" s="50"/>
      <c r="U37" s="21"/>
      <c r="V37" s="21"/>
      <c r="W37" s="21"/>
      <c r="X37" s="21"/>
      <c r="Y37" s="50"/>
      <c r="AA37" s="21"/>
      <c r="AB37" s="21"/>
      <c r="AC37" s="21"/>
      <c r="AD37" s="21"/>
      <c r="AE37" s="50"/>
      <c r="AG37" s="21"/>
      <c r="AH37" s="21"/>
      <c r="AI37" s="21"/>
      <c r="AJ37" s="21"/>
      <c r="AK37" s="50"/>
      <c r="AM37" s="21"/>
      <c r="AN37" s="21"/>
      <c r="AO37" s="21"/>
      <c r="AP37" s="21"/>
      <c r="AQ37" s="50"/>
      <c r="AS37" s="250"/>
      <c r="AT37" s="21"/>
      <c r="AU37" s="250"/>
      <c r="AV37" s="130"/>
      <c r="AW37" s="257"/>
      <c r="AY37" s="250"/>
      <c r="AZ37" s="21"/>
      <c r="BA37" s="250"/>
      <c r="BB37" s="130"/>
      <c r="BC37" s="257"/>
    </row>
    <row r="38" spans="1:55" s="1" customFormat="1" ht="12.75" customHeight="1" x14ac:dyDescent="0.2">
      <c r="A38" s="2" t="s">
        <v>141</v>
      </c>
      <c r="C38" s="2">
        <v>3.1999999999999975</v>
      </c>
      <c r="D38" s="2">
        <v>37.799999999999997</v>
      </c>
      <c r="E38" s="2">
        <v>36.299999999999997</v>
      </c>
      <c r="F38" s="2">
        <v>16.099999999999998</v>
      </c>
      <c r="G38" s="60">
        <f>SUM(C38:F38)</f>
        <v>93.399999999999977</v>
      </c>
      <c r="I38" s="152">
        <v>17.299999999999997</v>
      </c>
      <c r="J38" s="152">
        <v>24.6</v>
      </c>
      <c r="K38" s="152">
        <v>16.3</v>
      </c>
      <c r="L38" s="152">
        <v>-17.399999999999999</v>
      </c>
      <c r="M38" s="60">
        <f>SUM(I38:L38)</f>
        <v>40.800000000000004</v>
      </c>
      <c r="O38" s="152">
        <v>0.59999999999999964</v>
      </c>
      <c r="P38" s="152">
        <v>5.4999999999999982</v>
      </c>
      <c r="Q38" s="152">
        <v>1.9999999999999991</v>
      </c>
      <c r="R38" s="152">
        <v>-5.0000000000000018</v>
      </c>
      <c r="S38" s="60">
        <f>SUM(O38:R38)</f>
        <v>3.0999999999999961</v>
      </c>
      <c r="T38" s="152"/>
      <c r="U38" s="152">
        <f>+U30+U35</f>
        <v>9.7999999999999989</v>
      </c>
      <c r="V38" s="152">
        <f>+V30+V35</f>
        <v>7.3000000000000007</v>
      </c>
      <c r="W38" s="152">
        <v>20.399999999999999</v>
      </c>
      <c r="X38" s="152">
        <v>9.3000000000000007</v>
      </c>
      <c r="Y38" s="60">
        <f>SUM(U38:X38)</f>
        <v>46.8</v>
      </c>
      <c r="AA38" s="152">
        <f>+AA30+AA35</f>
        <v>32</v>
      </c>
      <c r="AB38" s="152">
        <f t="shared" ref="AB38:AD38" si="108">+AB30+AB35</f>
        <v>42.4</v>
      </c>
      <c r="AC38" s="152">
        <f t="shared" si="108"/>
        <v>30.300000000000004</v>
      </c>
      <c r="AD38" s="152">
        <f t="shared" si="108"/>
        <v>13.700000000000001</v>
      </c>
      <c r="AE38" s="60">
        <f>SUM(AA38:AD38)</f>
        <v>118.40000000000002</v>
      </c>
      <c r="AG38" s="152">
        <v>38.799999999999997</v>
      </c>
      <c r="AH38" s="152">
        <f>+AH30+AH35</f>
        <v>40.9</v>
      </c>
      <c r="AI38" s="152">
        <f>+AI30+AI35</f>
        <v>35.199999999999996</v>
      </c>
      <c r="AJ38" s="152">
        <v>39.700000000000003</v>
      </c>
      <c r="AK38" s="60">
        <f>SUM(AG38:AJ38)</f>
        <v>154.59999999999997</v>
      </c>
      <c r="AM38" s="152">
        <v>56.9</v>
      </c>
      <c r="AN38" s="152">
        <f>+AN30</f>
        <v>58</v>
      </c>
      <c r="AO38" s="152">
        <f>+AO30+AO35</f>
        <v>76.5</v>
      </c>
      <c r="AP38" s="152">
        <f>+AP30+AP35</f>
        <v>63.2</v>
      </c>
      <c r="AQ38" s="60">
        <f>SUM(AM38:AP38)</f>
        <v>254.60000000000002</v>
      </c>
      <c r="AS38" s="4">
        <f>+AS30-AS35</f>
        <v>75</v>
      </c>
      <c r="AT38" s="234">
        <f>+AT30+AT35</f>
        <v>85</v>
      </c>
      <c r="AU38" s="4">
        <f>+AU30+AU35</f>
        <v>93</v>
      </c>
      <c r="AV38" s="10">
        <f>+AV30+AV35</f>
        <v>90</v>
      </c>
      <c r="AW38" s="29">
        <f>SUM(AS38:AV38)</f>
        <v>343</v>
      </c>
      <c r="AY38" s="4">
        <f>+AY30-AY35</f>
        <v>81</v>
      </c>
      <c r="AZ38" s="234">
        <f>+AZ30-AZ35</f>
        <v>105</v>
      </c>
      <c r="BA38" s="4">
        <v>119</v>
      </c>
      <c r="BB38" s="10"/>
      <c r="BC38" s="29">
        <f>SUM(AY38:BB38)</f>
        <v>305</v>
      </c>
    </row>
    <row r="39" spans="1:55" ht="12.75" customHeight="1" x14ac:dyDescent="0.2">
      <c r="A39" s="2" t="s">
        <v>140</v>
      </c>
      <c r="C39" s="2">
        <v>-2.1</v>
      </c>
      <c r="D39" s="2">
        <v>0.7</v>
      </c>
      <c r="E39" s="2">
        <v>-0.8</v>
      </c>
      <c r="F39" s="2">
        <v>5.7</v>
      </c>
      <c r="G39" s="60">
        <f>SUM(C39:F39)</f>
        <v>3.5</v>
      </c>
      <c r="I39" s="152">
        <v>-1.5</v>
      </c>
      <c r="J39" s="152">
        <v>1</v>
      </c>
      <c r="K39" s="152">
        <v>1.5</v>
      </c>
      <c r="L39" s="152">
        <v>8</v>
      </c>
      <c r="M39" s="60">
        <f>SUM(I39:L39)</f>
        <v>9</v>
      </c>
      <c r="N39" s="1"/>
      <c r="O39" s="152">
        <v>-0.4</v>
      </c>
      <c r="P39" s="152">
        <v>3.9</v>
      </c>
      <c r="Q39" s="152">
        <v>3.9</v>
      </c>
      <c r="R39" s="152">
        <v>7.1999999999999993</v>
      </c>
      <c r="S39" s="60">
        <f>SUM(O39:R39)</f>
        <v>14.6</v>
      </c>
      <c r="T39" s="152"/>
      <c r="U39" s="152">
        <f>+U31</f>
        <v>-1.8</v>
      </c>
      <c r="V39" s="152">
        <f>+V31</f>
        <v>-0.8</v>
      </c>
      <c r="W39" s="152">
        <v>1</v>
      </c>
      <c r="X39" s="152">
        <v>4.2</v>
      </c>
      <c r="Y39" s="60">
        <f>SUM(U39:X39)</f>
        <v>2.6</v>
      </c>
      <c r="AA39" s="152">
        <f>+AA31</f>
        <v>-1.2</v>
      </c>
      <c r="AB39" s="152">
        <f t="shared" ref="AB39:AD39" si="109">+AB31</f>
        <v>0</v>
      </c>
      <c r="AC39" s="152">
        <f t="shared" si="109"/>
        <v>3.2</v>
      </c>
      <c r="AD39" s="152">
        <f t="shared" si="109"/>
        <v>5.5</v>
      </c>
      <c r="AE39" s="60">
        <f>SUM(AA39:AD39)</f>
        <v>7.5</v>
      </c>
      <c r="AG39" s="152">
        <v>6.3</v>
      </c>
      <c r="AH39" s="224"/>
      <c r="AI39" s="224"/>
      <c r="AJ39" s="224"/>
      <c r="AK39" s="223"/>
      <c r="AM39" s="224"/>
      <c r="AN39" s="224"/>
      <c r="AO39" s="224"/>
      <c r="AP39" s="224"/>
      <c r="AQ39" s="223"/>
      <c r="AS39" s="240"/>
      <c r="AT39" s="224"/>
      <c r="AU39" s="240"/>
      <c r="AV39" s="289"/>
      <c r="AW39" s="246"/>
      <c r="AY39" s="240"/>
      <c r="AZ39" s="224"/>
      <c r="BA39" s="240"/>
      <c r="BB39" s="289"/>
      <c r="BC39" s="246"/>
    </row>
    <row r="40" spans="1:55" s="41" customFormat="1" ht="12.75" customHeight="1" x14ac:dyDescent="0.2">
      <c r="A40" s="37" t="s">
        <v>150</v>
      </c>
      <c r="C40" s="64">
        <f>+SUM(C38:C39)</f>
        <v>1.0999999999999974</v>
      </c>
      <c r="D40" s="64">
        <f>+SUM(D38:D39)</f>
        <v>38.5</v>
      </c>
      <c r="E40" s="64">
        <f>+SUM(E38:E39)</f>
        <v>35.5</v>
      </c>
      <c r="F40" s="100">
        <f>+SUM(F38:F39)</f>
        <v>21.799999999999997</v>
      </c>
      <c r="G40" s="65">
        <f>+SUM(G38:G39)</f>
        <v>96.899999999999977</v>
      </c>
      <c r="H40" s="67"/>
      <c r="I40" s="64">
        <f>+SUM(I38:I39)</f>
        <v>15.799999999999997</v>
      </c>
      <c r="J40" s="64">
        <f>+SUM(J38:J39)</f>
        <v>25.6</v>
      </c>
      <c r="K40" s="64">
        <f>+SUM(K38:K39)</f>
        <v>17.8</v>
      </c>
      <c r="L40" s="100">
        <f>+SUM(L38:L39)</f>
        <v>-9.3999999999999986</v>
      </c>
      <c r="M40" s="65">
        <f>+SUM(M38:M39)</f>
        <v>49.800000000000004</v>
      </c>
      <c r="N40" s="67"/>
      <c r="O40" s="64">
        <f>+SUM(O38:O39)</f>
        <v>0.19999999999999962</v>
      </c>
      <c r="P40" s="64">
        <f>+SUM(P38:P39)</f>
        <v>9.3999999999999986</v>
      </c>
      <c r="Q40" s="64">
        <f>+SUM(Q38:Q39)</f>
        <v>5.8999999999999986</v>
      </c>
      <c r="R40" s="100">
        <f>+SUM(R38:R39)</f>
        <v>2.1999999999999975</v>
      </c>
      <c r="S40" s="65">
        <f>+SUM(S38:S39)</f>
        <v>17.699999999999996</v>
      </c>
      <c r="U40" s="64">
        <f>+SUM(U38:U39)</f>
        <v>7.9999999999999991</v>
      </c>
      <c r="V40" s="64">
        <f>+SUM(V38:V39)</f>
        <v>6.5000000000000009</v>
      </c>
      <c r="W40" s="64">
        <f>+SUM(W38:W39)</f>
        <v>21.4</v>
      </c>
      <c r="X40" s="64">
        <f>+SUM(X38:X39)</f>
        <v>13.5</v>
      </c>
      <c r="Y40" s="65">
        <f>+SUM(Y38:Y39)</f>
        <v>49.4</v>
      </c>
      <c r="AA40" s="64">
        <f>+SUM(AA38:AA39)</f>
        <v>30.8</v>
      </c>
      <c r="AB40" s="64">
        <f t="shared" ref="AB40:AD40" si="110">+SUM(AB38:AB39)</f>
        <v>42.4</v>
      </c>
      <c r="AC40" s="64">
        <f t="shared" si="110"/>
        <v>33.500000000000007</v>
      </c>
      <c r="AD40" s="64">
        <f t="shared" si="110"/>
        <v>19.200000000000003</v>
      </c>
      <c r="AE40" s="65">
        <f>+SUM(AE38:AE39)</f>
        <v>125.90000000000002</v>
      </c>
      <c r="AG40" s="64">
        <f>+SUM(AG38:AG39)</f>
        <v>45.099999999999994</v>
      </c>
      <c r="AH40" s="220"/>
      <c r="AI40" s="220"/>
      <c r="AJ40" s="220"/>
      <c r="AK40" s="221"/>
      <c r="AM40" s="220"/>
      <c r="AN40" s="220"/>
      <c r="AO40" s="220"/>
      <c r="AP40" s="220"/>
      <c r="AQ40" s="221"/>
      <c r="AS40" s="244"/>
      <c r="AT40" s="220"/>
      <c r="AU40" s="244"/>
      <c r="AV40" s="292"/>
      <c r="AW40" s="247"/>
      <c r="AY40" s="244"/>
      <c r="AZ40" s="220"/>
      <c r="BA40" s="244"/>
      <c r="BB40" s="292"/>
      <c r="BC40" s="247"/>
    </row>
    <row r="41" spans="1:55" ht="12.75" customHeight="1" x14ac:dyDescent="0.2">
      <c r="G41" s="42"/>
      <c r="M41" s="42"/>
      <c r="S41" s="42"/>
      <c r="Y41" s="42"/>
      <c r="AE41" s="42"/>
      <c r="AK41" s="42"/>
      <c r="AQ41" s="42"/>
      <c r="AS41" s="4"/>
      <c r="AU41" s="4"/>
      <c r="AW41" s="32"/>
      <c r="AY41" s="4"/>
      <c r="BA41" s="4"/>
      <c r="BC41" s="32"/>
    </row>
    <row r="42" spans="1:55" ht="12.75" customHeight="1" x14ac:dyDescent="0.2">
      <c r="A42" s="1" t="s">
        <v>186</v>
      </c>
      <c r="G42" s="42"/>
      <c r="M42" s="42"/>
      <c r="S42" s="42"/>
      <c r="Y42" s="42"/>
      <c r="AE42" s="42"/>
      <c r="AK42" s="42"/>
      <c r="AQ42" s="42"/>
      <c r="AS42" s="4"/>
      <c r="AU42" s="4"/>
      <c r="AW42" s="32"/>
      <c r="AY42" s="4"/>
      <c r="BA42" s="4"/>
      <c r="BC42" s="32"/>
    </row>
    <row r="43" spans="1:55" ht="12.75" customHeight="1" x14ac:dyDescent="0.2">
      <c r="A43" s="2" t="s">
        <v>180</v>
      </c>
      <c r="C43" s="24">
        <v>0.5</v>
      </c>
      <c r="D43" s="24">
        <v>17.8</v>
      </c>
      <c r="E43" s="24">
        <v>18.3</v>
      </c>
      <c r="F43" s="94">
        <v>14.8</v>
      </c>
      <c r="G43" s="60">
        <f>SUM(C43:F43)</f>
        <v>51.400000000000006</v>
      </c>
      <c r="H43" s="24"/>
      <c r="I43" s="24">
        <v>2.5</v>
      </c>
      <c r="J43" s="24">
        <v>10.6</v>
      </c>
      <c r="K43" s="24">
        <v>12.1</v>
      </c>
      <c r="L43" s="94">
        <v>-25.5</v>
      </c>
      <c r="M43" s="60">
        <f>SUM(I43:L43)</f>
        <v>-0.30000000000000071</v>
      </c>
      <c r="O43" s="24">
        <v>-15.4</v>
      </c>
      <c r="P43" s="24">
        <v>-11</v>
      </c>
      <c r="Q43" s="24">
        <v>-11.7</v>
      </c>
      <c r="R43" s="94">
        <v>-15.299999999999997</v>
      </c>
      <c r="S43" s="60">
        <f>SUM(O43:R43)</f>
        <v>-53.399999999999991</v>
      </c>
      <c r="U43" s="24">
        <v>-10.5</v>
      </c>
      <c r="V43" s="24">
        <v>-5.7</v>
      </c>
      <c r="W43" s="24">
        <v>-3.1</v>
      </c>
      <c r="X43" s="94">
        <v>-9</v>
      </c>
      <c r="Y43" s="60">
        <f>SUM(U43:X43)</f>
        <v>-28.3</v>
      </c>
      <c r="AA43" s="24">
        <v>4.5999999999999996</v>
      </c>
      <c r="AB43" s="24">
        <v>8.1</v>
      </c>
      <c r="AC43" s="24">
        <v>17.5</v>
      </c>
      <c r="AD43" s="94">
        <v>-16.2</v>
      </c>
      <c r="AE43" s="60">
        <f>SUM(AA43:AD43)</f>
        <v>14</v>
      </c>
      <c r="AG43" s="24">
        <v>10.199999999999999</v>
      </c>
      <c r="AH43" s="24">
        <v>14.9</v>
      </c>
      <c r="AI43" s="24">
        <v>10</v>
      </c>
      <c r="AJ43" s="94">
        <v>6.5</v>
      </c>
      <c r="AK43" s="60">
        <f>SUM(AG43:AJ43)</f>
        <v>41.6</v>
      </c>
      <c r="AM43" s="24">
        <v>18.100000000000001</v>
      </c>
      <c r="AN43" s="24">
        <v>25.5</v>
      </c>
      <c r="AO43" s="24">
        <v>33</v>
      </c>
      <c r="AP43" s="94">
        <f>+AQ43-SUM(AM43:AO43)</f>
        <v>36.000000000000014</v>
      </c>
      <c r="AQ43" s="60">
        <v>112.60000000000001</v>
      </c>
      <c r="AS43" s="4">
        <v>34</v>
      </c>
      <c r="AT43" s="4">
        <v>49</v>
      </c>
      <c r="AU43" s="4">
        <v>49</v>
      </c>
      <c r="AV43" s="287">
        <v>49</v>
      </c>
      <c r="AW43" s="29">
        <f>+SUM(AS43:AV43)</f>
        <v>181</v>
      </c>
      <c r="AY43" s="4">
        <v>37</v>
      </c>
      <c r="AZ43" s="4">
        <v>42</v>
      </c>
      <c r="BA43" s="4">
        <v>51</v>
      </c>
      <c r="BB43" s="287"/>
      <c r="BC43" s="29">
        <f>+SUM(AY43:BB43)</f>
        <v>130</v>
      </c>
    </row>
    <row r="44" spans="1:55" ht="12.75" customHeight="1" x14ac:dyDescent="0.2">
      <c r="A44" s="2" t="s">
        <v>181</v>
      </c>
      <c r="C44" s="24">
        <v>7.8</v>
      </c>
      <c r="D44" s="24">
        <v>3.6</v>
      </c>
      <c r="E44" s="24">
        <v>0.8</v>
      </c>
      <c r="F44" s="94">
        <v>-0.5</v>
      </c>
      <c r="G44" s="60">
        <f t="shared" ref="G44:G46" si="111">SUM(C44:F44)</f>
        <v>11.700000000000001</v>
      </c>
      <c r="H44" s="24"/>
      <c r="I44" s="24">
        <v>-3</v>
      </c>
      <c r="J44" s="24">
        <v>2.1</v>
      </c>
      <c r="K44" s="24">
        <v>-2.2000000000000002</v>
      </c>
      <c r="L44" s="94">
        <v>-1.5</v>
      </c>
      <c r="M44" s="60">
        <f t="shared" ref="M44:M46" si="112">SUM(I44:L44)</f>
        <v>-4.5999999999999996</v>
      </c>
      <c r="O44" s="24">
        <v>-2.7</v>
      </c>
      <c r="P44" s="24">
        <v>-0.7</v>
      </c>
      <c r="Q44" s="24">
        <v>-1.8</v>
      </c>
      <c r="R44" s="94">
        <v>-9.6000000000000014</v>
      </c>
      <c r="S44" s="60">
        <f t="shared" ref="S44:S46" si="113">SUM(O44:R44)</f>
        <v>-14.8</v>
      </c>
      <c r="U44" s="24">
        <v>-0.8</v>
      </c>
      <c r="V44" s="24">
        <v>2.1</v>
      </c>
      <c r="W44" s="24">
        <v>2.4</v>
      </c>
      <c r="X44" s="94">
        <v>-3.9</v>
      </c>
      <c r="Y44" s="60">
        <f t="shared" ref="Y44:Y46" si="114">SUM(U44:X44)</f>
        <v>-0.19999999999999973</v>
      </c>
      <c r="AA44" s="24">
        <v>1.3</v>
      </c>
      <c r="AB44" s="24">
        <v>3.4</v>
      </c>
      <c r="AC44" s="24">
        <v>4.7</v>
      </c>
      <c r="AD44" s="94">
        <v>3.7</v>
      </c>
      <c r="AE44" s="60">
        <f t="shared" ref="AE44:AE46" si="115">SUM(AA44:AD44)</f>
        <v>13.100000000000001</v>
      </c>
      <c r="AG44" s="24">
        <v>6.5</v>
      </c>
      <c r="AH44" s="24">
        <v>3.6</v>
      </c>
      <c r="AI44" s="24">
        <v>-1.3</v>
      </c>
      <c r="AJ44" s="94">
        <v>4.8</v>
      </c>
      <c r="AK44" s="60">
        <f t="shared" ref="AK44:AK46" si="116">SUM(AG44:AJ44)</f>
        <v>13.599999999999998</v>
      </c>
      <c r="AM44" s="24">
        <v>14.2</v>
      </c>
      <c r="AN44" s="24">
        <v>13.3</v>
      </c>
      <c r="AO44" s="24">
        <v>9.5</v>
      </c>
      <c r="AP44" s="94">
        <f t="shared" ref="AP44:AP46" si="117">+AQ44-SUM(AM44:AO44)</f>
        <v>7</v>
      </c>
      <c r="AQ44" s="60">
        <v>44</v>
      </c>
      <c r="AS44" s="4">
        <v>13</v>
      </c>
      <c r="AT44" s="4">
        <v>17</v>
      </c>
      <c r="AU44" s="4">
        <v>7</v>
      </c>
      <c r="AV44" s="287">
        <v>4</v>
      </c>
      <c r="AW44" s="29">
        <f>+SUM(AS44:AV44)</f>
        <v>41</v>
      </c>
      <c r="AY44" s="4">
        <v>10</v>
      </c>
      <c r="AZ44" s="4">
        <v>23</v>
      </c>
      <c r="BA44" s="4">
        <v>15</v>
      </c>
      <c r="BB44" s="287"/>
      <c r="BC44" s="29">
        <f>+SUM(AY44:BB44)</f>
        <v>48</v>
      </c>
    </row>
    <row r="45" spans="1:55" ht="12.75" customHeight="1" x14ac:dyDescent="0.2">
      <c r="A45" s="2" t="s">
        <v>182</v>
      </c>
      <c r="C45" s="24">
        <v>0.5</v>
      </c>
      <c r="D45" s="24">
        <v>4.9000000000000004</v>
      </c>
      <c r="E45" s="24">
        <v>2.2999999999999998</v>
      </c>
      <c r="F45" s="94">
        <v>1.7</v>
      </c>
      <c r="G45" s="60">
        <f t="shared" si="111"/>
        <v>9.4</v>
      </c>
      <c r="H45" s="24"/>
      <c r="I45" s="24">
        <v>5.0999999999999996</v>
      </c>
      <c r="J45" s="24">
        <v>2.8</v>
      </c>
      <c r="K45" s="24">
        <v>1.2</v>
      </c>
      <c r="L45" s="94">
        <v>2.9</v>
      </c>
      <c r="M45" s="60">
        <f t="shared" si="112"/>
        <v>12</v>
      </c>
      <c r="O45" s="24">
        <v>1.2</v>
      </c>
      <c r="P45" s="24">
        <v>3.6</v>
      </c>
      <c r="Q45" s="24">
        <v>2.9</v>
      </c>
      <c r="R45" s="94">
        <v>1</v>
      </c>
      <c r="S45" s="60">
        <f t="shared" si="113"/>
        <v>8.6999999999999993</v>
      </c>
      <c r="U45" s="24">
        <v>1.7</v>
      </c>
      <c r="V45" s="24">
        <v>3</v>
      </c>
      <c r="W45" s="24">
        <v>3.2</v>
      </c>
      <c r="X45" s="94">
        <v>2.6</v>
      </c>
      <c r="Y45" s="60">
        <f t="shared" si="114"/>
        <v>10.5</v>
      </c>
      <c r="AA45" s="24">
        <v>6.9</v>
      </c>
      <c r="AB45" s="24">
        <v>13.4</v>
      </c>
      <c r="AC45" s="24">
        <v>3.3</v>
      </c>
      <c r="AD45" s="94">
        <v>4.8</v>
      </c>
      <c r="AE45" s="60">
        <f t="shared" si="115"/>
        <v>28.400000000000002</v>
      </c>
      <c r="AG45" s="24">
        <v>2.7</v>
      </c>
      <c r="AH45" s="24">
        <v>0.7</v>
      </c>
      <c r="AI45" s="24">
        <v>7.6</v>
      </c>
      <c r="AJ45" s="94">
        <v>10.5</v>
      </c>
      <c r="AK45" s="60">
        <f t="shared" si="116"/>
        <v>21.5</v>
      </c>
      <c r="AM45" s="24">
        <v>2.9</v>
      </c>
      <c r="AN45" s="24">
        <v>4.7</v>
      </c>
      <c r="AO45" s="24">
        <v>4.3</v>
      </c>
      <c r="AP45" s="94">
        <f t="shared" si="117"/>
        <v>1.7000000000000011</v>
      </c>
      <c r="AQ45" s="60">
        <v>13.6</v>
      </c>
      <c r="AS45" s="4">
        <v>5</v>
      </c>
      <c r="AT45" s="4">
        <v>3</v>
      </c>
      <c r="AU45" s="4">
        <v>7</v>
      </c>
      <c r="AV45" s="287">
        <v>4</v>
      </c>
      <c r="AW45" s="29">
        <f>+SUM(AS45:AV45)</f>
        <v>19</v>
      </c>
      <c r="AY45" s="4">
        <v>11</v>
      </c>
      <c r="AZ45" s="4">
        <v>12</v>
      </c>
      <c r="BA45" s="4">
        <v>21</v>
      </c>
      <c r="BB45" s="287"/>
      <c r="BC45" s="29">
        <f>+SUM(AY45:BB45)</f>
        <v>44</v>
      </c>
    </row>
    <row r="46" spans="1:55" ht="12.75" customHeight="1" x14ac:dyDescent="0.2">
      <c r="A46" s="36" t="s">
        <v>187</v>
      </c>
      <c r="B46" s="36"/>
      <c r="C46" s="62">
        <v>-1.7</v>
      </c>
      <c r="D46" s="62">
        <v>-1.7</v>
      </c>
      <c r="E46" s="62">
        <v>-0.6</v>
      </c>
      <c r="F46" s="182">
        <v>-4.5999999999999996</v>
      </c>
      <c r="G46" s="63">
        <f t="shared" si="111"/>
        <v>-8.6</v>
      </c>
      <c r="H46" s="24"/>
      <c r="I46" s="24">
        <v>-4</v>
      </c>
      <c r="J46" s="62">
        <v>-2.7</v>
      </c>
      <c r="K46" s="62">
        <v>-4.3</v>
      </c>
      <c r="L46" s="182">
        <v>-5.3</v>
      </c>
      <c r="M46" s="63">
        <f t="shared" si="112"/>
        <v>-16.3</v>
      </c>
      <c r="O46" s="62">
        <v>-6.1</v>
      </c>
      <c r="P46" s="62">
        <v>-2.8</v>
      </c>
      <c r="Q46" s="62">
        <v>-3.3</v>
      </c>
      <c r="R46" s="182">
        <v>-4</v>
      </c>
      <c r="S46" s="63">
        <f t="shared" si="113"/>
        <v>-16.2</v>
      </c>
      <c r="U46" s="62">
        <v>-0.9</v>
      </c>
      <c r="V46" s="62">
        <v>-3</v>
      </c>
      <c r="W46" s="62">
        <v>-1.2</v>
      </c>
      <c r="X46" s="182">
        <v>-5.4</v>
      </c>
      <c r="Y46" s="63">
        <f t="shared" si="114"/>
        <v>-10.5</v>
      </c>
      <c r="AA46" s="62">
        <v>-3.8</v>
      </c>
      <c r="AB46" s="62">
        <v>-3.9</v>
      </c>
      <c r="AC46" s="62">
        <v>-4.4000000000000004</v>
      </c>
      <c r="AD46" s="182">
        <v>-6.8</v>
      </c>
      <c r="AE46" s="63">
        <f t="shared" si="115"/>
        <v>-18.899999999999999</v>
      </c>
      <c r="AG46" s="62">
        <v>-0.7</v>
      </c>
      <c r="AH46" s="62">
        <v>1.9</v>
      </c>
      <c r="AI46" s="62">
        <v>-0.5</v>
      </c>
      <c r="AJ46" s="182">
        <v>-8.3000000000000007</v>
      </c>
      <c r="AK46" s="63">
        <f t="shared" si="116"/>
        <v>-7.6000000000000005</v>
      </c>
      <c r="AM46" s="62">
        <v>-0.7</v>
      </c>
      <c r="AN46" s="62">
        <v>-7.1</v>
      </c>
      <c r="AO46" s="62">
        <v>7</v>
      </c>
      <c r="AP46" s="94">
        <f t="shared" si="117"/>
        <v>-5</v>
      </c>
      <c r="AQ46" s="63">
        <v>-5.8</v>
      </c>
      <c r="AS46" s="242">
        <v>1</v>
      </c>
      <c r="AT46" s="242">
        <v>-7</v>
      </c>
      <c r="AU46" s="242">
        <v>3</v>
      </c>
      <c r="AV46" s="287">
        <v>3</v>
      </c>
      <c r="AW46" s="29">
        <f>+SUM(AS46:AV46)</f>
        <v>0</v>
      </c>
      <c r="AY46" s="242">
        <v>-7</v>
      </c>
      <c r="AZ46" s="242">
        <v>-6</v>
      </c>
      <c r="BA46" s="242">
        <v>0</v>
      </c>
      <c r="BB46" s="287"/>
      <c r="BC46" s="29">
        <f>+SUM(AY46:BB46)</f>
        <v>-13</v>
      </c>
    </row>
    <row r="47" spans="1:55" s="41" customFormat="1" ht="12.75" customHeight="1" x14ac:dyDescent="0.2">
      <c r="A47" s="37" t="s">
        <v>141</v>
      </c>
      <c r="C47" s="64">
        <f>+SUM(C43:C46)</f>
        <v>7.1000000000000005</v>
      </c>
      <c r="D47" s="64">
        <f t="shared" ref="D47" si="118">+SUM(D43:D46)</f>
        <v>24.600000000000005</v>
      </c>
      <c r="E47" s="64">
        <f t="shared" ref="E47" si="119">+SUM(E43:E46)</f>
        <v>20.8</v>
      </c>
      <c r="F47" s="100">
        <f t="shared" ref="F47" si="120">+SUM(F43:F46)</f>
        <v>11.4</v>
      </c>
      <c r="G47" s="65">
        <f>+SUM(G43:G46)</f>
        <v>63.900000000000013</v>
      </c>
      <c r="H47" s="67"/>
      <c r="I47" s="64">
        <f>+SUM(I43:I46)</f>
        <v>0.59999999999999964</v>
      </c>
      <c r="J47" s="64">
        <f t="shared" ref="J47" si="121">+SUM(J43:J46)</f>
        <v>12.8</v>
      </c>
      <c r="K47" s="64">
        <f t="shared" ref="K47" si="122">+SUM(K43:K46)</f>
        <v>6.799999999999998</v>
      </c>
      <c r="L47" s="100">
        <f t="shared" ref="L47" si="123">+SUM(L43:L46)</f>
        <v>-29.400000000000002</v>
      </c>
      <c r="M47" s="65">
        <f>+SUM(M43:M46)</f>
        <v>-9.2000000000000011</v>
      </c>
      <c r="N47" s="67"/>
      <c r="O47" s="64">
        <f>+SUM(O43:O46)</f>
        <v>-23</v>
      </c>
      <c r="P47" s="64">
        <f t="shared" ref="P47" si="124">+SUM(P43:P46)</f>
        <v>-10.899999999999999</v>
      </c>
      <c r="Q47" s="64">
        <f t="shared" ref="Q47" si="125">+SUM(Q43:Q46)</f>
        <v>-13.899999999999999</v>
      </c>
      <c r="R47" s="100">
        <f t="shared" ref="R47" si="126">+SUM(R43:R46)</f>
        <v>-27.9</v>
      </c>
      <c r="S47" s="65">
        <f>+SUM(S43:S46)</f>
        <v>-75.699999999999989</v>
      </c>
      <c r="U47" s="64">
        <f>+SUM(U43:U46)</f>
        <v>-10.500000000000002</v>
      </c>
      <c r="V47" s="64">
        <f>+SUM(V43:V46)</f>
        <v>-3.6</v>
      </c>
      <c r="W47" s="64">
        <f>+SUM(W43:W46)</f>
        <v>1.3</v>
      </c>
      <c r="X47" s="64">
        <f>+SUM(X43:X46)</f>
        <v>-15.700000000000001</v>
      </c>
      <c r="Y47" s="65">
        <f>+SUM(Y43:Y46)</f>
        <v>-28.5</v>
      </c>
      <c r="AA47" s="64">
        <f>+SUM(AA43:AA46)</f>
        <v>9</v>
      </c>
      <c r="AB47" s="64">
        <f t="shared" ref="AB47:AD47" si="127">+SUM(AB43:AB46)</f>
        <v>21</v>
      </c>
      <c r="AC47" s="64">
        <f t="shared" si="127"/>
        <v>21.1</v>
      </c>
      <c r="AD47" s="64">
        <f t="shared" si="127"/>
        <v>-14.5</v>
      </c>
      <c r="AE47" s="65">
        <f>+SUM(AE43:AE46)</f>
        <v>36.6</v>
      </c>
      <c r="AG47" s="64">
        <f>+SUM(AG43:AG46)</f>
        <v>18.7</v>
      </c>
      <c r="AH47" s="64">
        <f t="shared" ref="AH47:AJ47" si="128">+SUM(AH43:AH46)</f>
        <v>21.099999999999998</v>
      </c>
      <c r="AI47" s="64">
        <f t="shared" si="128"/>
        <v>15.799999999999997</v>
      </c>
      <c r="AJ47" s="64">
        <f t="shared" si="128"/>
        <v>13.5</v>
      </c>
      <c r="AK47" s="65">
        <f>+SUM(AK43:AK46)</f>
        <v>69.100000000000009</v>
      </c>
      <c r="AM47" s="64">
        <f>+SUM(AM43:AM46)</f>
        <v>34.499999999999993</v>
      </c>
      <c r="AN47" s="64">
        <f>+SUM(AN43:AN46)</f>
        <v>36.4</v>
      </c>
      <c r="AO47" s="64">
        <f>+SUM(AO43:AO46)</f>
        <v>53.8</v>
      </c>
      <c r="AP47" s="64">
        <f>+SUM(AP43:AP46)</f>
        <v>39.700000000000017</v>
      </c>
      <c r="AQ47" s="65">
        <f>+SUM(AQ43:AQ46)</f>
        <v>164.4</v>
      </c>
      <c r="AS47" s="38">
        <f>+SUM(AS43:AS46)</f>
        <v>53</v>
      </c>
      <c r="AT47" s="38">
        <f>+SUM(AT43:AT46)</f>
        <v>62</v>
      </c>
      <c r="AU47" s="38">
        <f>+SUM(AU43:AU46)</f>
        <v>66</v>
      </c>
      <c r="AV47" s="288">
        <f>+SUM(AV43:AV46)</f>
        <v>60</v>
      </c>
      <c r="AW47" s="255">
        <f>+SUM(AS47:AV47)</f>
        <v>241</v>
      </c>
      <c r="AY47" s="38">
        <f>+SUM(AY43:AY46)</f>
        <v>51</v>
      </c>
      <c r="AZ47" s="38">
        <f>+SUM(AZ43:AZ46)</f>
        <v>71</v>
      </c>
      <c r="BA47" s="38">
        <f>+SUM(BA43:BA46)</f>
        <v>87</v>
      </c>
      <c r="BB47" s="288"/>
      <c r="BC47" s="255">
        <f>+SUM(AY47:BB47)</f>
        <v>209</v>
      </c>
    </row>
    <row r="48" spans="1:55" s="1" customFormat="1" ht="12.75" customHeight="1" x14ac:dyDescent="0.2">
      <c r="A48" s="2" t="s">
        <v>140</v>
      </c>
      <c r="B48" s="2"/>
      <c r="C48" s="24">
        <v>-3.1</v>
      </c>
      <c r="D48" s="24">
        <v>-0.5</v>
      </c>
      <c r="E48" s="24">
        <v>-1.8</v>
      </c>
      <c r="F48" s="94">
        <v>3.7</v>
      </c>
      <c r="G48" s="60">
        <f t="shared" ref="G48" si="129">SUM(C48:F48)</f>
        <v>-1.7000000000000002</v>
      </c>
      <c r="I48" s="24">
        <v>-3.1</v>
      </c>
      <c r="J48" s="24">
        <v>-1</v>
      </c>
      <c r="K48" s="24">
        <v>0</v>
      </c>
      <c r="L48" s="94">
        <v>5.3</v>
      </c>
      <c r="M48" s="60">
        <f>SUM(I48:L48)</f>
        <v>1.2000000000000002</v>
      </c>
      <c r="O48" s="24">
        <v>-2.6</v>
      </c>
      <c r="P48" s="24">
        <v>1.5</v>
      </c>
      <c r="Q48" s="24">
        <v>1.8</v>
      </c>
      <c r="R48" s="94">
        <v>4</v>
      </c>
      <c r="S48" s="60">
        <f t="shared" ref="S48" si="130">SUM(O48:R48)</f>
        <v>4.7</v>
      </c>
      <c r="U48" s="24">
        <v>-4.3</v>
      </c>
      <c r="V48" s="24">
        <v>-3.8</v>
      </c>
      <c r="W48" s="24">
        <v>-2.2000000000000002</v>
      </c>
      <c r="X48" s="94">
        <v>0.8</v>
      </c>
      <c r="Y48" s="60">
        <f t="shared" ref="Y48" si="131">SUM(U48:X48)</f>
        <v>-9.5</v>
      </c>
      <c r="AA48" s="24">
        <v>-4.7</v>
      </c>
      <c r="AB48" s="24">
        <v>-3.5</v>
      </c>
      <c r="AC48" s="24">
        <v>-0.3</v>
      </c>
      <c r="AD48" s="94">
        <v>1.4</v>
      </c>
      <c r="AE48" s="60">
        <f t="shared" ref="AE48" si="132">SUM(AA48:AD48)</f>
        <v>-7.1</v>
      </c>
      <c r="AG48" s="24">
        <v>-5.2</v>
      </c>
      <c r="AH48" s="219"/>
      <c r="AI48" s="219"/>
      <c r="AJ48" s="222"/>
      <c r="AK48" s="223"/>
      <c r="AM48" s="219"/>
      <c r="AN48" s="219"/>
      <c r="AO48" s="219"/>
      <c r="AP48" s="222"/>
      <c r="AQ48" s="223"/>
      <c r="AS48" s="240"/>
      <c r="AT48" s="219"/>
      <c r="AU48" s="240"/>
      <c r="AV48" s="291"/>
      <c r="AW48" s="246"/>
      <c r="AY48" s="240"/>
      <c r="AZ48" s="219"/>
      <c r="BA48" s="240"/>
      <c r="BB48" s="291"/>
      <c r="BC48" s="246"/>
    </row>
    <row r="49" spans="1:55" s="41" customFormat="1" ht="12.75" customHeight="1" x14ac:dyDescent="0.2">
      <c r="A49" s="37" t="s">
        <v>150</v>
      </c>
      <c r="C49" s="64">
        <f>+SUM(C47:C48)</f>
        <v>4</v>
      </c>
      <c r="D49" s="64">
        <f>+SUM(D47:D48)</f>
        <v>24.100000000000005</v>
      </c>
      <c r="E49" s="64">
        <f>+SUM(E47:E48)</f>
        <v>19</v>
      </c>
      <c r="F49" s="100">
        <f>+SUM(F47:F48)</f>
        <v>15.100000000000001</v>
      </c>
      <c r="G49" s="65">
        <f>+SUM(G47:G48)</f>
        <v>62.20000000000001</v>
      </c>
      <c r="H49" s="67"/>
      <c r="I49" s="64">
        <f>+SUM(I47:I48)</f>
        <v>-2.5000000000000004</v>
      </c>
      <c r="J49" s="64">
        <f>+SUM(J47:J48)</f>
        <v>11.8</v>
      </c>
      <c r="K49" s="64">
        <f>+SUM(K47:K48)</f>
        <v>6.799999999999998</v>
      </c>
      <c r="L49" s="100">
        <f>+SUM(L47:L48)</f>
        <v>-24.1</v>
      </c>
      <c r="M49" s="65">
        <f>+SUM(M47:M48)</f>
        <v>-8</v>
      </c>
      <c r="N49" s="67"/>
      <c r="O49" s="64">
        <f>+SUM(O47:O48)</f>
        <v>-25.6</v>
      </c>
      <c r="P49" s="64">
        <f>+SUM(P47:P48)</f>
        <v>-9.3999999999999986</v>
      </c>
      <c r="Q49" s="64">
        <f>+SUM(Q47:Q48)</f>
        <v>-12.099999999999998</v>
      </c>
      <c r="R49" s="100">
        <f>+SUM(R47:R48)</f>
        <v>-23.9</v>
      </c>
      <c r="S49" s="65">
        <f>+SUM(S47:S48)</f>
        <v>-70.999999999999986</v>
      </c>
      <c r="U49" s="64">
        <f>+SUM(U47:U48)</f>
        <v>-14.8</v>
      </c>
      <c r="V49" s="64">
        <f>+SUM(V47:V48)</f>
        <v>-7.4</v>
      </c>
      <c r="W49" s="64">
        <f>+SUM(W47:W48)</f>
        <v>-0.90000000000000013</v>
      </c>
      <c r="X49" s="64">
        <f>+SUM(X47:X48)</f>
        <v>-14.9</v>
      </c>
      <c r="Y49" s="65">
        <f>+SUM(Y47:Y48)</f>
        <v>-38</v>
      </c>
      <c r="AA49" s="64">
        <f>+SUM(AA47:AA48)</f>
        <v>4.3</v>
      </c>
      <c r="AB49" s="64">
        <f t="shared" ref="AB49:AD49" si="133">+SUM(AB47:AB48)</f>
        <v>17.5</v>
      </c>
      <c r="AC49" s="64">
        <f t="shared" si="133"/>
        <v>20.8</v>
      </c>
      <c r="AD49" s="64">
        <f t="shared" si="133"/>
        <v>-13.1</v>
      </c>
      <c r="AE49" s="65">
        <f>+SUM(AE47:AE48)</f>
        <v>29.5</v>
      </c>
      <c r="AG49" s="64">
        <f>+SUM(AG47:AG48)</f>
        <v>13.5</v>
      </c>
      <c r="AH49" s="220"/>
      <c r="AI49" s="220"/>
      <c r="AJ49" s="220"/>
      <c r="AK49" s="221"/>
      <c r="AM49" s="220"/>
      <c r="AN49" s="220"/>
      <c r="AO49" s="220"/>
      <c r="AP49" s="220"/>
      <c r="AQ49" s="221"/>
      <c r="AS49" s="244"/>
      <c r="AT49" s="220"/>
      <c r="AU49" s="244"/>
      <c r="AV49" s="292"/>
      <c r="AW49" s="247"/>
      <c r="AY49" s="244"/>
      <c r="AZ49" s="220"/>
      <c r="BA49" s="244"/>
      <c r="BB49" s="292"/>
      <c r="BC49" s="247"/>
    </row>
    <row r="50" spans="1:55" s="1" customFormat="1" ht="12.75" customHeight="1" x14ac:dyDescent="0.2">
      <c r="B50" s="49"/>
      <c r="G50" s="28"/>
      <c r="M50" s="28"/>
      <c r="S50" s="28"/>
      <c r="Y50" s="28"/>
      <c r="AE50" s="28"/>
      <c r="AK50" s="28"/>
      <c r="AQ50" s="28"/>
      <c r="AS50" s="3"/>
      <c r="AU50" s="3"/>
      <c r="AV50" s="295"/>
      <c r="AW50" s="29"/>
      <c r="AY50" s="3"/>
      <c r="BA50" s="3"/>
      <c r="BB50" s="295"/>
      <c r="BC50" s="29"/>
    </row>
    <row r="51" spans="1:55" s="1" customFormat="1" ht="12.75" customHeight="1" x14ac:dyDescent="0.2">
      <c r="A51" s="1" t="s">
        <v>2</v>
      </c>
      <c r="G51" s="28"/>
      <c r="M51" s="28"/>
      <c r="S51" s="28"/>
      <c r="Y51" s="28"/>
      <c r="AE51" s="28"/>
      <c r="AK51" s="28"/>
      <c r="AQ51" s="28"/>
      <c r="AS51" s="3"/>
      <c r="AU51" s="3"/>
      <c r="AV51" s="295"/>
      <c r="AW51" s="29"/>
      <c r="AY51" s="3"/>
      <c r="BA51" s="3"/>
      <c r="BB51" s="295"/>
      <c r="BC51" s="29"/>
    </row>
    <row r="52" spans="1:55" s="1" customFormat="1" ht="12.75" customHeight="1" x14ac:dyDescent="0.2">
      <c r="A52" s="2" t="s">
        <v>141</v>
      </c>
      <c r="C52" s="2">
        <v>-7.5</v>
      </c>
      <c r="D52" s="2">
        <v>19.5</v>
      </c>
      <c r="E52" s="2">
        <v>13.3</v>
      </c>
      <c r="F52" s="2">
        <v>-6.3000000000000007</v>
      </c>
      <c r="G52" s="60">
        <f>SUM(C52:F52)</f>
        <v>19</v>
      </c>
      <c r="I52" s="152">
        <v>-2.5</v>
      </c>
      <c r="J52" s="152">
        <v>5.3</v>
      </c>
      <c r="K52" s="152">
        <v>-3</v>
      </c>
      <c r="L52" s="152">
        <v>-38.4</v>
      </c>
      <c r="M52" s="60">
        <f>SUM(I52:L52)</f>
        <v>-38.6</v>
      </c>
      <c r="O52" s="152">
        <v>-20</v>
      </c>
      <c r="P52" s="152">
        <v>-14.8</v>
      </c>
      <c r="Q52" s="152">
        <v>-18.8</v>
      </c>
      <c r="R52" s="152">
        <v>-34.100000000000009</v>
      </c>
      <c r="S52" s="60">
        <f>SUM(O52:R52)</f>
        <v>-87.7</v>
      </c>
      <c r="U52" s="152">
        <v>-10.9</v>
      </c>
      <c r="V52" s="152">
        <v>-12.3</v>
      </c>
      <c r="W52" s="152">
        <v>0.3</v>
      </c>
      <c r="X52" s="152">
        <v>-15.5</v>
      </c>
      <c r="Y52" s="60">
        <f>SUM(U52:X52)</f>
        <v>-38.400000000000006</v>
      </c>
      <c r="AA52" s="152">
        <v>10.8</v>
      </c>
      <c r="AB52" s="152">
        <v>21</v>
      </c>
      <c r="AC52" s="152">
        <v>6.6</v>
      </c>
      <c r="AD52" s="152">
        <v>-14.5</v>
      </c>
      <c r="AE52" s="60">
        <f>SUM(AA52:AD52)</f>
        <v>23.9</v>
      </c>
      <c r="AG52" s="152">
        <v>19.2</v>
      </c>
      <c r="AH52" s="152">
        <v>20.7</v>
      </c>
      <c r="AI52" s="152">
        <v>15.8</v>
      </c>
      <c r="AJ52" s="152">
        <v>13.5</v>
      </c>
      <c r="AK52" s="60">
        <f>SUM(AG52:AJ52)</f>
        <v>69.2</v>
      </c>
      <c r="AM52" s="152">
        <v>34.5</v>
      </c>
      <c r="AN52" s="152">
        <f>+AN47</f>
        <v>36.4</v>
      </c>
      <c r="AO52" s="152">
        <f>+AO47</f>
        <v>53.8</v>
      </c>
      <c r="AP52" s="152">
        <f>+AP47</f>
        <v>39.700000000000017</v>
      </c>
      <c r="AQ52" s="60">
        <f>+AQ47</f>
        <v>164.4</v>
      </c>
      <c r="AS52" s="4">
        <f>+AS47</f>
        <v>53</v>
      </c>
      <c r="AT52" s="234">
        <f>+AT47+AT35</f>
        <v>61</v>
      </c>
      <c r="AU52" s="4">
        <f>+AU47</f>
        <v>66</v>
      </c>
      <c r="AV52" s="10">
        <v>60</v>
      </c>
      <c r="AW52" s="29">
        <f>+SUM(AS52:AV52)</f>
        <v>240</v>
      </c>
      <c r="AY52" s="4">
        <f>+AY47</f>
        <v>51</v>
      </c>
      <c r="AZ52" s="234">
        <f>+AZ47-AZ35</f>
        <v>71</v>
      </c>
      <c r="BA52" s="234">
        <f>+BA47-BA35</f>
        <v>87</v>
      </c>
      <c r="BB52" s="10"/>
      <c r="BC52" s="29">
        <f>+SUM(AY52:BB52)</f>
        <v>209</v>
      </c>
    </row>
    <row r="53" spans="1:55" s="1" customFormat="1" ht="12.75" customHeight="1" x14ac:dyDescent="0.2">
      <c r="A53" s="2" t="s">
        <v>140</v>
      </c>
      <c r="C53" s="36">
        <v>-3.1</v>
      </c>
      <c r="D53" s="36">
        <v>-0.5</v>
      </c>
      <c r="E53" s="36">
        <v>-1.8</v>
      </c>
      <c r="F53" s="36">
        <v>3.7</v>
      </c>
      <c r="G53" s="60">
        <f>SUM(C53:F53)</f>
        <v>-1.7000000000000002</v>
      </c>
      <c r="I53" s="155">
        <v>-3.1</v>
      </c>
      <c r="J53" s="155">
        <v>-1</v>
      </c>
      <c r="K53" s="155">
        <v>0</v>
      </c>
      <c r="L53" s="155">
        <v>5.2</v>
      </c>
      <c r="M53" s="60">
        <f>SUM(I53:L53)</f>
        <v>1.1000000000000005</v>
      </c>
      <c r="O53" s="155">
        <v>-2.6</v>
      </c>
      <c r="P53" s="155">
        <v>1.5</v>
      </c>
      <c r="Q53" s="155">
        <v>1.8</v>
      </c>
      <c r="R53" s="155">
        <v>4.0000000000000009</v>
      </c>
      <c r="S53" s="60">
        <f>SUM(O53:R53)</f>
        <v>4.7000000000000011</v>
      </c>
      <c r="U53" s="155">
        <v>-4.3</v>
      </c>
      <c r="V53" s="155">
        <v>-3.8</v>
      </c>
      <c r="W53" s="155">
        <v>-2.2000000000000002</v>
      </c>
      <c r="X53" s="155">
        <v>0.8</v>
      </c>
      <c r="Y53" s="60">
        <f>SUM(U53:X53)</f>
        <v>-9.5</v>
      </c>
      <c r="AA53" s="155">
        <v>-4.7</v>
      </c>
      <c r="AB53" s="155">
        <v>-3.5</v>
      </c>
      <c r="AC53" s="155">
        <v>-0.3</v>
      </c>
      <c r="AD53" s="155">
        <v>1.4</v>
      </c>
      <c r="AE53" s="60">
        <f>SUM(AA53:AD53)</f>
        <v>-7.1</v>
      </c>
      <c r="AG53" s="155">
        <v>2.8</v>
      </c>
      <c r="AH53" s="225"/>
      <c r="AI53" s="225"/>
      <c r="AJ53" s="225"/>
      <c r="AK53" s="223"/>
      <c r="AM53" s="225"/>
      <c r="AN53" s="225"/>
      <c r="AO53" s="225"/>
      <c r="AP53" s="225"/>
      <c r="AQ53" s="223"/>
      <c r="AS53" s="251"/>
      <c r="AT53" s="225"/>
      <c r="AU53" s="251"/>
      <c r="AV53" s="296"/>
      <c r="AW53" s="246"/>
      <c r="AY53" s="251"/>
      <c r="AZ53" s="225"/>
      <c r="BA53" s="251"/>
      <c r="BB53" s="296"/>
      <c r="BC53" s="246"/>
    </row>
    <row r="54" spans="1:55" s="41" customFormat="1" ht="12.75" customHeight="1" x14ac:dyDescent="0.2">
      <c r="A54" s="37" t="s">
        <v>150</v>
      </c>
      <c r="C54" s="64">
        <f t="shared" ref="C54" si="134">+SUM(C52:C53)</f>
        <v>-10.6</v>
      </c>
      <c r="D54" s="64">
        <f t="shared" ref="D54" si="135">+SUM(D52:D53)</f>
        <v>19</v>
      </c>
      <c r="E54" s="64">
        <f t="shared" ref="E54" si="136">+SUM(E52:E53)</f>
        <v>11.5</v>
      </c>
      <c r="F54" s="100">
        <f t="shared" ref="F54" si="137">+SUM(F52:F53)</f>
        <v>-2.6000000000000005</v>
      </c>
      <c r="G54" s="65">
        <f>+SUM(G52:G53)</f>
        <v>17.3</v>
      </c>
      <c r="H54" s="67"/>
      <c r="I54" s="64">
        <f t="shared" ref="I54" si="138">+SUM(I52:I53)</f>
        <v>-5.6</v>
      </c>
      <c r="J54" s="64">
        <f t="shared" ref="J54" si="139">+SUM(J52:J53)</f>
        <v>4.3</v>
      </c>
      <c r="K54" s="64">
        <f t="shared" ref="K54" si="140">+SUM(K52:K53)</f>
        <v>-3</v>
      </c>
      <c r="L54" s="100">
        <f t="shared" ref="L54" si="141">+SUM(L52:L53)</f>
        <v>-33.199999999999996</v>
      </c>
      <c r="M54" s="65">
        <f>+SUM(M52:M53)</f>
        <v>-37.5</v>
      </c>
      <c r="N54" s="67"/>
      <c r="O54" s="64">
        <f t="shared" ref="O54" si="142">+SUM(O52:O53)</f>
        <v>-22.6</v>
      </c>
      <c r="P54" s="64">
        <f t="shared" ref="P54" si="143">+SUM(P52:P53)</f>
        <v>-13.3</v>
      </c>
      <c r="Q54" s="64">
        <f t="shared" ref="Q54" si="144">+SUM(Q52:Q53)</f>
        <v>-17</v>
      </c>
      <c r="R54" s="100">
        <f t="shared" ref="R54" si="145">+SUM(R52:R53)</f>
        <v>-30.100000000000009</v>
      </c>
      <c r="S54" s="65">
        <f>+SUM(S52:S53)</f>
        <v>-83</v>
      </c>
      <c r="U54" s="160">
        <f t="shared" ref="U54:X54" si="146">+SUM(U52:U53)</f>
        <v>-15.2</v>
      </c>
      <c r="V54" s="160">
        <f t="shared" si="146"/>
        <v>-16.100000000000001</v>
      </c>
      <c r="W54" s="160">
        <f t="shared" si="146"/>
        <v>-1.9000000000000001</v>
      </c>
      <c r="X54" s="160">
        <f t="shared" si="146"/>
        <v>-14.7</v>
      </c>
      <c r="Y54" s="65">
        <f>+SUM(Y52:Y53)</f>
        <v>-47.900000000000006</v>
      </c>
      <c r="AA54" s="160">
        <f t="shared" ref="AA54" si="147">+SUM(AA52:AA53)</f>
        <v>6.1000000000000005</v>
      </c>
      <c r="AB54" s="160">
        <f t="shared" ref="AB54:AD54" si="148">+SUM(AB52:AB53)</f>
        <v>17.5</v>
      </c>
      <c r="AC54" s="160">
        <f t="shared" si="148"/>
        <v>6.3</v>
      </c>
      <c r="AD54" s="160">
        <f t="shared" si="148"/>
        <v>-13.1</v>
      </c>
      <c r="AE54" s="65">
        <f>+SUM(AE52:AE53)</f>
        <v>16.799999999999997</v>
      </c>
      <c r="AG54" s="160">
        <f t="shared" ref="AG54" si="149">+SUM(AG52:AG53)</f>
        <v>22</v>
      </c>
      <c r="AH54" s="226"/>
      <c r="AI54" s="226"/>
      <c r="AJ54" s="226"/>
      <c r="AK54" s="221"/>
      <c r="AM54" s="226"/>
      <c r="AN54" s="226"/>
      <c r="AO54" s="226"/>
      <c r="AP54" s="226"/>
      <c r="AQ54" s="221"/>
      <c r="AS54" s="244"/>
      <c r="AT54" s="226"/>
      <c r="AU54" s="244"/>
      <c r="AV54" s="292"/>
      <c r="AW54" s="247"/>
      <c r="AY54" s="244"/>
      <c r="AZ54" s="226"/>
      <c r="BA54" s="244"/>
      <c r="BB54" s="292"/>
      <c r="BC54" s="247"/>
    </row>
    <row r="55" spans="1:55" ht="12.75" customHeight="1" x14ac:dyDescent="0.2">
      <c r="A55" s="1"/>
      <c r="C55" s="61"/>
      <c r="D55" s="61"/>
      <c r="E55" s="61"/>
      <c r="F55" s="187"/>
      <c r="G55" s="60"/>
      <c r="H55" s="24"/>
      <c r="I55" s="61"/>
      <c r="J55" s="61"/>
      <c r="K55" s="61"/>
      <c r="L55" s="187"/>
      <c r="M55" s="60"/>
      <c r="N55" s="24"/>
      <c r="O55" s="61"/>
      <c r="P55" s="61"/>
      <c r="Q55" s="61"/>
      <c r="R55" s="187"/>
      <c r="S55" s="60"/>
      <c r="U55" s="61"/>
      <c r="V55" s="61"/>
      <c r="W55" s="61"/>
      <c r="X55" s="187"/>
      <c r="Y55" s="60"/>
      <c r="AA55" s="61"/>
      <c r="AB55" s="61"/>
      <c r="AC55" s="61"/>
      <c r="AD55" s="187"/>
      <c r="AE55" s="60"/>
      <c r="AG55" s="61"/>
      <c r="AH55" s="61"/>
      <c r="AI55" s="61"/>
      <c r="AJ55" s="187"/>
      <c r="AK55" s="60"/>
      <c r="AM55" s="61"/>
      <c r="AN55" s="61"/>
      <c r="AO55" s="61"/>
      <c r="AP55" s="187"/>
      <c r="AQ55" s="60"/>
      <c r="AS55" s="3"/>
      <c r="AT55" s="61"/>
      <c r="AU55" s="3"/>
      <c r="AV55" s="297"/>
      <c r="AW55" s="29"/>
      <c r="AY55" s="3"/>
      <c r="AZ55" s="61"/>
      <c r="BA55" s="3"/>
      <c r="BB55" s="297"/>
      <c r="BC55" s="29"/>
    </row>
    <row r="56" spans="1:55" ht="12.75" customHeight="1" x14ac:dyDescent="0.2">
      <c r="A56" s="1" t="s">
        <v>54</v>
      </c>
      <c r="B56" s="1"/>
      <c r="C56" s="1"/>
      <c r="D56" s="1"/>
      <c r="E56" s="1"/>
      <c r="F56" s="1"/>
      <c r="G56" s="28"/>
      <c r="H56" s="1"/>
      <c r="I56" s="1"/>
      <c r="J56" s="1"/>
      <c r="K56" s="1"/>
      <c r="L56" s="1"/>
      <c r="M56" s="28"/>
      <c r="N56" s="1"/>
      <c r="O56" s="1"/>
      <c r="P56" s="1"/>
      <c r="Q56" s="1"/>
      <c r="R56" s="1"/>
      <c r="S56" s="28"/>
      <c r="T56" s="1"/>
      <c r="U56" s="1"/>
      <c r="V56" s="1"/>
      <c r="W56" s="1"/>
      <c r="X56" s="1"/>
      <c r="Y56" s="28"/>
      <c r="AA56" s="1"/>
      <c r="AB56" s="1"/>
      <c r="AC56" s="1"/>
      <c r="AD56" s="1"/>
      <c r="AE56" s="28"/>
      <c r="AG56" s="1"/>
      <c r="AH56" s="1"/>
      <c r="AI56" s="1"/>
      <c r="AJ56" s="1"/>
      <c r="AK56" s="28"/>
      <c r="AM56" s="1"/>
      <c r="AN56" s="1"/>
      <c r="AO56" s="1"/>
      <c r="AP56" s="1"/>
      <c r="AQ56" s="28"/>
      <c r="AS56" s="3"/>
      <c r="AT56" s="1"/>
      <c r="AU56" s="3"/>
      <c r="AV56" s="295"/>
      <c r="AW56" s="29"/>
      <c r="AY56" s="3"/>
      <c r="AZ56" s="1"/>
      <c r="BA56" s="3"/>
      <c r="BB56" s="295"/>
      <c r="BC56" s="29"/>
    </row>
    <row r="57" spans="1:55" ht="12.75" customHeight="1" x14ac:dyDescent="0.2">
      <c r="A57" s="2" t="s">
        <v>141</v>
      </c>
      <c r="B57" s="1"/>
      <c r="C57" s="152">
        <v>-23</v>
      </c>
      <c r="D57" s="152">
        <v>8.6</v>
      </c>
      <c r="E57" s="152">
        <v>29.6</v>
      </c>
      <c r="F57" s="152">
        <v>63.000000000000007</v>
      </c>
      <c r="G57" s="168">
        <f>SUM(C57:F57)</f>
        <v>78.2</v>
      </c>
      <c r="H57" s="154"/>
      <c r="I57" s="152">
        <v>-131.80000000000001</v>
      </c>
      <c r="J57" s="152">
        <v>39.799999999999997</v>
      </c>
      <c r="K57" s="152">
        <v>-35.5</v>
      </c>
      <c r="L57" s="152">
        <v>81.200000000000017</v>
      </c>
      <c r="M57" s="168">
        <f>SUM(I57:L57)</f>
        <v>-46.3</v>
      </c>
      <c r="N57" s="154"/>
      <c r="O57" s="152">
        <v>-51.8</v>
      </c>
      <c r="P57" s="152">
        <v>19.3</v>
      </c>
      <c r="Q57" s="152">
        <v>10.4</v>
      </c>
      <c r="R57" s="152">
        <v>139.89999999999998</v>
      </c>
      <c r="S57" s="168">
        <f>SUM(O57:R57)</f>
        <v>117.79999999999998</v>
      </c>
      <c r="T57" s="154"/>
      <c r="U57" s="152">
        <v>-118.3</v>
      </c>
      <c r="V57" s="152">
        <v>-10</v>
      </c>
      <c r="W57" s="152">
        <v>158.80000000000001</v>
      </c>
      <c r="X57" s="152">
        <v>105.1</v>
      </c>
      <c r="Y57" s="60">
        <f>SUM(U57:X57)</f>
        <v>135.6</v>
      </c>
      <c r="AA57" s="152">
        <v>-22.7</v>
      </c>
      <c r="AB57" s="152">
        <v>-99.7</v>
      </c>
      <c r="AC57" s="152">
        <v>149.6</v>
      </c>
      <c r="AD57" s="152">
        <v>181.6</v>
      </c>
      <c r="AE57" s="60">
        <f>SUM(AA57:AD57)</f>
        <v>208.79999999999998</v>
      </c>
      <c r="AG57" s="152">
        <v>-40.9</v>
      </c>
      <c r="AH57" s="152">
        <v>137</v>
      </c>
      <c r="AI57" s="152">
        <v>-0.4</v>
      </c>
      <c r="AJ57" s="152">
        <v>202.5</v>
      </c>
      <c r="AK57" s="60">
        <f>SUM(AG57:AJ57)</f>
        <v>298.2</v>
      </c>
      <c r="AM57" s="152">
        <v>-66.599999999999994</v>
      </c>
      <c r="AN57" s="152">
        <v>320.89999999999998</v>
      </c>
      <c r="AO57" s="152">
        <v>150.6</v>
      </c>
      <c r="AP57" s="152">
        <f>+AQ57-SUM(AM57:AO57)</f>
        <v>137.5</v>
      </c>
      <c r="AQ57" s="60">
        <v>542.4</v>
      </c>
      <c r="AS57" s="4">
        <v>48</v>
      </c>
      <c r="AT57" s="234">
        <v>642</v>
      </c>
      <c r="AU57" s="4">
        <v>-19</v>
      </c>
      <c r="AV57" s="10">
        <v>368</v>
      </c>
      <c r="AW57" s="29">
        <f>+SUM(AS57:AV57)</f>
        <v>1039</v>
      </c>
      <c r="AY57" s="4">
        <v>-141</v>
      </c>
      <c r="AZ57" s="234">
        <v>-1</v>
      </c>
      <c r="BA57" s="4">
        <v>68</v>
      </c>
      <c r="BC57" s="29">
        <f>+SUM(AY57:BB57)</f>
        <v>-74</v>
      </c>
    </row>
    <row r="58" spans="1:55" ht="12.75" customHeight="1" x14ac:dyDescent="0.2">
      <c r="A58" s="2" t="s">
        <v>140</v>
      </c>
      <c r="B58" s="1"/>
      <c r="C58" s="152">
        <v>1.5</v>
      </c>
      <c r="D58" s="152">
        <v>-2.5</v>
      </c>
      <c r="E58" s="152">
        <v>0.9</v>
      </c>
      <c r="F58" s="152">
        <v>-0.29999999999999993</v>
      </c>
      <c r="G58" s="168">
        <f>SUM(C58:F58)</f>
        <v>-0.39999999999999991</v>
      </c>
      <c r="H58" s="154"/>
      <c r="I58" s="152">
        <v>0</v>
      </c>
      <c r="J58" s="152">
        <v>-3.4</v>
      </c>
      <c r="K58" s="152">
        <v>0.7</v>
      </c>
      <c r="L58" s="152">
        <v>6.8</v>
      </c>
      <c r="M58" s="168">
        <f>SUM(I58:L58)</f>
        <v>4.0999999999999996</v>
      </c>
      <c r="N58" s="154"/>
      <c r="O58" s="152">
        <v>-2.8</v>
      </c>
      <c r="P58" s="152">
        <v>3.8</v>
      </c>
      <c r="Q58" s="152">
        <v>0.6</v>
      </c>
      <c r="R58" s="152">
        <v>5.6000000000000005</v>
      </c>
      <c r="S58" s="168">
        <f>SUM(O58:R58)</f>
        <v>7.2000000000000011</v>
      </c>
      <c r="T58" s="154"/>
      <c r="U58" s="152">
        <v>-3.2</v>
      </c>
      <c r="V58" s="152">
        <v>-1.8</v>
      </c>
      <c r="W58" s="152">
        <v>-0.1</v>
      </c>
      <c r="X58" s="152">
        <v>5.8</v>
      </c>
      <c r="Y58" s="60">
        <f>SUM(U58:X58)</f>
        <v>0.70000000000000018</v>
      </c>
      <c r="AA58" s="152">
        <v>0.4</v>
      </c>
      <c r="AB58" s="152">
        <v>0.1</v>
      </c>
      <c r="AC58" s="152">
        <v>-3.8</v>
      </c>
      <c r="AD58" s="152">
        <v>2.2999999999999998</v>
      </c>
      <c r="AE58" s="60">
        <f>SUM(AA58:AD58)</f>
        <v>-1</v>
      </c>
      <c r="AG58" s="152">
        <v>-5</v>
      </c>
      <c r="AH58" s="224"/>
      <c r="AI58" s="224"/>
      <c r="AJ58" s="224"/>
      <c r="AK58" s="223"/>
      <c r="AM58" s="224"/>
      <c r="AN58" s="224"/>
      <c r="AO58" s="224"/>
      <c r="AP58" s="224"/>
      <c r="AQ58" s="223"/>
      <c r="AS58" s="240"/>
      <c r="AT58" s="224"/>
      <c r="AU58" s="240"/>
      <c r="AV58" s="289"/>
      <c r="AW58" s="246"/>
      <c r="AY58" s="240"/>
      <c r="AZ58" s="224"/>
      <c r="BA58" s="240"/>
      <c r="BB58" s="289"/>
      <c r="BC58" s="246"/>
    </row>
    <row r="59" spans="1:55" s="41" customFormat="1" ht="12.75" customHeight="1" x14ac:dyDescent="0.2">
      <c r="A59" s="37" t="s">
        <v>150</v>
      </c>
      <c r="C59" s="64">
        <f t="shared" ref="C59" si="150">+SUM(C57:C58)</f>
        <v>-21.5</v>
      </c>
      <c r="D59" s="64">
        <f t="shared" ref="D59" si="151">+SUM(D57:D58)</f>
        <v>6.1</v>
      </c>
      <c r="E59" s="64">
        <f t="shared" ref="E59" si="152">+SUM(E57:E58)</f>
        <v>30.5</v>
      </c>
      <c r="F59" s="100">
        <f t="shared" ref="F59" si="153">+SUM(F57:F58)</f>
        <v>62.70000000000001</v>
      </c>
      <c r="G59" s="65">
        <f>+SUM(G57:G58)</f>
        <v>77.8</v>
      </c>
      <c r="H59" s="67"/>
      <c r="I59" s="64">
        <f t="shared" ref="I59" si="154">+SUM(I57:I58)</f>
        <v>-131.80000000000001</v>
      </c>
      <c r="J59" s="64">
        <f t="shared" ref="J59" si="155">+SUM(J57:J58)</f>
        <v>36.4</v>
      </c>
      <c r="K59" s="64">
        <f t="shared" ref="K59" si="156">+SUM(K57:K58)</f>
        <v>-34.799999999999997</v>
      </c>
      <c r="L59" s="100">
        <f t="shared" ref="L59" si="157">+SUM(L57:L58)</f>
        <v>88.000000000000014</v>
      </c>
      <c r="M59" s="65">
        <f>+SUM(M57:M58)</f>
        <v>-42.199999999999996</v>
      </c>
      <c r="N59" s="67"/>
      <c r="O59" s="64">
        <f t="shared" ref="O59" si="158">+SUM(O57:O58)</f>
        <v>-54.599999999999994</v>
      </c>
      <c r="P59" s="64">
        <f t="shared" ref="P59" si="159">+SUM(P57:P58)</f>
        <v>23.1</v>
      </c>
      <c r="Q59" s="64">
        <f t="shared" ref="Q59" si="160">+SUM(Q57:Q58)</f>
        <v>11</v>
      </c>
      <c r="R59" s="100">
        <f t="shared" ref="R59" si="161">+SUM(R57:R58)</f>
        <v>145.49999999999997</v>
      </c>
      <c r="S59" s="65">
        <f>+SUM(S57:S58)</f>
        <v>124.99999999999999</v>
      </c>
      <c r="U59" s="64">
        <f t="shared" ref="U59:X59" si="162">+SUM(U57:U58)</f>
        <v>-121.5</v>
      </c>
      <c r="V59" s="64">
        <f t="shared" si="162"/>
        <v>-11.8</v>
      </c>
      <c r="W59" s="64">
        <f t="shared" si="162"/>
        <v>158.70000000000002</v>
      </c>
      <c r="X59" s="64">
        <f t="shared" si="162"/>
        <v>110.89999999999999</v>
      </c>
      <c r="Y59" s="65">
        <f>+SUM(Y57:Y58)</f>
        <v>136.29999999999998</v>
      </c>
      <c r="AA59" s="64">
        <f t="shared" ref="AA59" si="163">+SUM(AA57:AA58)</f>
        <v>-22.3</v>
      </c>
      <c r="AB59" s="64">
        <f t="shared" ref="AB59:AD59" si="164">+SUM(AB57:AB58)</f>
        <v>-99.600000000000009</v>
      </c>
      <c r="AC59" s="64">
        <f t="shared" si="164"/>
        <v>145.79999999999998</v>
      </c>
      <c r="AD59" s="64">
        <f t="shared" si="164"/>
        <v>183.9</v>
      </c>
      <c r="AE59" s="65">
        <f>+SUM(AE57:AE58)</f>
        <v>207.79999999999998</v>
      </c>
      <c r="AG59" s="64">
        <f t="shared" ref="AG59" si="165">+SUM(AG57:AG58)</f>
        <v>-45.9</v>
      </c>
      <c r="AH59" s="220"/>
      <c r="AI59" s="220"/>
      <c r="AJ59" s="220"/>
      <c r="AK59" s="221"/>
      <c r="AM59" s="220"/>
      <c r="AN59" s="220"/>
      <c r="AO59" s="220"/>
      <c r="AP59" s="220"/>
      <c r="AQ59" s="221"/>
      <c r="AS59" s="244"/>
      <c r="AT59" s="220"/>
      <c r="AU59" s="244"/>
      <c r="AV59" s="292"/>
      <c r="AW59" s="247"/>
      <c r="AY59" s="244"/>
      <c r="AZ59" s="220"/>
      <c r="BA59" s="244"/>
      <c r="BB59" s="292"/>
      <c r="BC59" s="247"/>
    </row>
    <row r="60" spans="1:55" ht="12.75" customHeight="1" x14ac:dyDescent="0.2">
      <c r="A60" s="1"/>
      <c r="C60" s="61"/>
      <c r="D60" s="61"/>
      <c r="E60" s="61"/>
      <c r="F60" s="187"/>
      <c r="G60" s="60"/>
      <c r="H60" s="24"/>
      <c r="I60" s="61"/>
      <c r="J60" s="61"/>
      <c r="K60" s="61"/>
      <c r="L60" s="187"/>
      <c r="M60" s="60"/>
      <c r="N60" s="24"/>
      <c r="O60" s="61"/>
      <c r="P60" s="61"/>
      <c r="Q60" s="61"/>
      <c r="R60" s="187"/>
      <c r="S60" s="60"/>
      <c r="U60" s="61"/>
      <c r="V60" s="61"/>
      <c r="W60" s="61"/>
      <c r="X60" s="187"/>
      <c r="Y60" s="60"/>
      <c r="AA60" s="61"/>
      <c r="AB60" s="61"/>
      <c r="AC60" s="61"/>
      <c r="AD60" s="187"/>
      <c r="AE60" s="60"/>
      <c r="AG60" s="61"/>
      <c r="AH60" s="61"/>
      <c r="AI60" s="61"/>
      <c r="AJ60" s="187"/>
      <c r="AK60" s="60"/>
      <c r="AM60" s="61"/>
      <c r="AN60" s="61"/>
      <c r="AO60" s="61"/>
      <c r="AP60" s="187"/>
      <c r="AQ60" s="60"/>
      <c r="AS60" s="3"/>
      <c r="AT60" s="61"/>
      <c r="AU60" s="3"/>
      <c r="AV60" s="297"/>
      <c r="AW60" s="29"/>
      <c r="AY60" s="3"/>
      <c r="AZ60" s="61"/>
      <c r="BA60" s="3"/>
      <c r="BB60" s="297"/>
      <c r="BC60" s="29"/>
    </row>
    <row r="61" spans="1:55" ht="12.75" customHeight="1" x14ac:dyDescent="0.2">
      <c r="A61" s="1" t="s">
        <v>196</v>
      </c>
      <c r="B61" s="1"/>
      <c r="C61" s="1"/>
      <c r="D61" s="1"/>
      <c r="E61" s="1"/>
      <c r="F61" s="1"/>
      <c r="G61" s="28"/>
      <c r="H61" s="1"/>
      <c r="I61" s="1"/>
      <c r="J61" s="1"/>
      <c r="K61" s="1"/>
      <c r="L61" s="1"/>
      <c r="M61" s="28"/>
      <c r="N61" s="1"/>
      <c r="O61" s="1"/>
      <c r="P61" s="1"/>
      <c r="Q61" s="1"/>
      <c r="R61" s="1"/>
      <c r="S61" s="28"/>
      <c r="T61" s="1"/>
      <c r="U61" s="1"/>
      <c r="V61" s="1"/>
      <c r="W61" s="1"/>
      <c r="X61" s="1"/>
      <c r="Y61" s="28"/>
      <c r="AA61" s="1"/>
      <c r="AB61" s="1"/>
      <c r="AC61" s="1"/>
      <c r="AD61" s="1"/>
      <c r="AE61" s="28"/>
      <c r="AG61" s="1"/>
      <c r="AH61" s="1"/>
      <c r="AI61" s="1"/>
      <c r="AJ61" s="1"/>
      <c r="AK61" s="28"/>
      <c r="AM61" s="1"/>
      <c r="AN61" s="1"/>
      <c r="AO61" s="1"/>
      <c r="AP61" s="1"/>
      <c r="AQ61" s="28"/>
      <c r="AS61" s="3"/>
      <c r="AT61" s="1"/>
      <c r="AU61" s="3"/>
      <c r="AV61" s="295"/>
      <c r="AW61" s="29"/>
      <c r="AY61" s="3"/>
      <c r="AZ61" s="1"/>
      <c r="BA61" s="3"/>
      <c r="BB61" s="295"/>
      <c r="BC61" s="29"/>
    </row>
    <row r="62" spans="1:55" ht="12.75" customHeight="1" x14ac:dyDescent="0.2">
      <c r="A62" s="2" t="s">
        <v>141</v>
      </c>
      <c r="B62" s="1"/>
      <c r="C62" s="152">
        <v>-12.5</v>
      </c>
      <c r="D62" s="152">
        <v>-16.399999999999999</v>
      </c>
      <c r="E62" s="152">
        <v>-13</v>
      </c>
      <c r="F62" s="152">
        <v>-21.1</v>
      </c>
      <c r="G62" s="60">
        <f>SUM(C62:F62)</f>
        <v>-63</v>
      </c>
      <c r="H62" s="1"/>
      <c r="I62" s="152">
        <v>-8.6999999999999993</v>
      </c>
      <c r="J62" s="152">
        <v>-10.9</v>
      </c>
      <c r="K62" s="152">
        <v>-8.6999999999999993</v>
      </c>
      <c r="L62" s="152">
        <v>-20.800000000000008</v>
      </c>
      <c r="M62" s="60">
        <f>SUM(I62:L62)</f>
        <v>-49.100000000000009</v>
      </c>
      <c r="N62" s="1"/>
      <c r="O62" s="152">
        <v>-6.4</v>
      </c>
      <c r="P62" s="152">
        <v>-16.7</v>
      </c>
      <c r="Q62" s="152">
        <v>-13.1</v>
      </c>
      <c r="R62" s="152">
        <v>-16.100000000000001</v>
      </c>
      <c r="S62" s="60">
        <f>SUM(O62:R62)</f>
        <v>-52.300000000000004</v>
      </c>
      <c r="T62" s="1"/>
      <c r="U62" s="152">
        <v>-10</v>
      </c>
      <c r="V62" s="2">
        <v>-17.3</v>
      </c>
      <c r="W62" s="2">
        <v>-14.4</v>
      </c>
      <c r="X62" s="2">
        <v>-49.1</v>
      </c>
      <c r="Y62" s="60">
        <f>SUM(U62:X62)</f>
        <v>-90.800000000000011</v>
      </c>
      <c r="AA62" s="152">
        <v>-28.3</v>
      </c>
      <c r="AB62" s="152">
        <v>-52.4</v>
      </c>
      <c r="AC62" s="152">
        <v>-44.2</v>
      </c>
      <c r="AD62" s="152">
        <v>-88.4</v>
      </c>
      <c r="AE62" s="60">
        <f>SUM(AA62:AD62)</f>
        <v>-213.3</v>
      </c>
      <c r="AG62" s="152">
        <v>-38.299999999999997</v>
      </c>
      <c r="AH62" s="152">
        <f>-42.1-6.8</f>
        <v>-48.9</v>
      </c>
      <c r="AI62" s="152">
        <v>-41</v>
      </c>
      <c r="AJ62" s="152">
        <v>-60.9</v>
      </c>
      <c r="AK62" s="60">
        <f>SUM(AG62:AJ62)</f>
        <v>-189.1</v>
      </c>
      <c r="AM62" s="152">
        <v>-31</v>
      </c>
      <c r="AN62" s="152">
        <v>-30.4</v>
      </c>
      <c r="AO62" s="152">
        <v>-59.9</v>
      </c>
      <c r="AP62" s="152">
        <f>+AQ62-SUM(AM62:AO62)</f>
        <v>-116.60000000000001</v>
      </c>
      <c r="AQ62" s="60">
        <f>-247+9.1</f>
        <v>-237.9</v>
      </c>
      <c r="AS62" s="4">
        <v>-64</v>
      </c>
      <c r="AT62" s="234">
        <f>-95-5</f>
        <v>-100</v>
      </c>
      <c r="AU62" s="4">
        <v>-115</v>
      </c>
      <c r="AV62" s="10">
        <v>-216</v>
      </c>
      <c r="AW62" s="29">
        <f>+SUM(AS62:AV62)</f>
        <v>-495</v>
      </c>
      <c r="AY62" s="4">
        <v>-167</v>
      </c>
      <c r="AZ62" s="234">
        <v>-174</v>
      </c>
      <c r="BA62" s="4">
        <v>-170</v>
      </c>
      <c r="BC62" s="29">
        <f>+SUM(AY62:BB62)</f>
        <v>-511</v>
      </c>
    </row>
    <row r="63" spans="1:55" ht="12.75" customHeight="1" x14ac:dyDescent="0.2">
      <c r="A63" s="2" t="s">
        <v>140</v>
      </c>
      <c r="B63" s="1"/>
      <c r="C63" s="152">
        <v>-1</v>
      </c>
      <c r="D63" s="152">
        <v>-2.2999999999999998</v>
      </c>
      <c r="E63" s="152">
        <v>-1.4</v>
      </c>
      <c r="F63" s="152">
        <v>-2.8000000000000003</v>
      </c>
      <c r="G63" s="60">
        <f>SUM(C63:F63)</f>
        <v>-7.5</v>
      </c>
      <c r="H63" s="1"/>
      <c r="I63" s="152">
        <v>-0.9</v>
      </c>
      <c r="J63" s="152">
        <v>-2.5</v>
      </c>
      <c r="K63" s="152">
        <v>-2.2999999999999998</v>
      </c>
      <c r="L63" s="152">
        <v>-6.1000000000000005</v>
      </c>
      <c r="M63" s="60">
        <f>SUM(I63:L63)</f>
        <v>-11.8</v>
      </c>
      <c r="N63" s="1"/>
      <c r="O63" s="152">
        <v>-3.2</v>
      </c>
      <c r="P63" s="152">
        <v>-4.2</v>
      </c>
      <c r="Q63" s="152">
        <v>-4.2</v>
      </c>
      <c r="R63" s="152">
        <v>-5.1000000000000005</v>
      </c>
      <c r="S63" s="60">
        <f>SUM(O63:R63)</f>
        <v>-16.700000000000003</v>
      </c>
      <c r="T63" s="1"/>
      <c r="U63" s="152">
        <v>-4.4000000000000004</v>
      </c>
      <c r="V63" s="152">
        <v>-4</v>
      </c>
      <c r="W63" s="152">
        <v>-3.5</v>
      </c>
      <c r="X63" s="152">
        <v>-4.7</v>
      </c>
      <c r="Y63" s="60">
        <f>SUM(U63:X63)</f>
        <v>-16.600000000000001</v>
      </c>
      <c r="AA63" s="152">
        <v>-3.4</v>
      </c>
      <c r="AB63" s="152">
        <v>-3.3</v>
      </c>
      <c r="AC63" s="152">
        <v>-3.1</v>
      </c>
      <c r="AD63" s="152">
        <v>-4.5</v>
      </c>
      <c r="AE63" s="60">
        <f>SUM(AA63:AD63)</f>
        <v>-14.299999999999999</v>
      </c>
      <c r="AG63" s="152">
        <v>-5.2</v>
      </c>
      <c r="AH63" s="224"/>
      <c r="AI63" s="224"/>
      <c r="AJ63" s="224"/>
      <c r="AK63" s="223"/>
      <c r="AM63" s="224"/>
      <c r="AN63" s="224"/>
      <c r="AO63" s="224"/>
      <c r="AP63" s="224"/>
      <c r="AQ63" s="223"/>
      <c r="AS63" s="240"/>
      <c r="AT63" s="224"/>
      <c r="AU63" s="240"/>
      <c r="AV63" s="289"/>
      <c r="AW63" s="246"/>
      <c r="AY63" s="240"/>
      <c r="AZ63" s="224"/>
      <c r="BA63" s="240"/>
      <c r="BB63" s="289"/>
      <c r="BC63" s="246"/>
    </row>
    <row r="64" spans="1:55" s="41" customFormat="1" ht="12.75" customHeight="1" x14ac:dyDescent="0.2">
      <c r="A64" s="37" t="s">
        <v>150</v>
      </c>
      <c r="C64" s="64">
        <f t="shared" ref="C64" si="166">+SUM(C62:C63)</f>
        <v>-13.5</v>
      </c>
      <c r="D64" s="64">
        <f t="shared" ref="D64" si="167">+SUM(D62:D63)</f>
        <v>-18.7</v>
      </c>
      <c r="E64" s="64">
        <f t="shared" ref="E64" si="168">+SUM(E62:E63)</f>
        <v>-14.4</v>
      </c>
      <c r="F64" s="100">
        <f t="shared" ref="F64" si="169">+SUM(F62:F63)</f>
        <v>-23.900000000000002</v>
      </c>
      <c r="G64" s="65">
        <f>+SUM(G62:G63)</f>
        <v>-70.5</v>
      </c>
      <c r="H64" s="67"/>
      <c r="I64" s="64">
        <f t="shared" ref="I64" si="170">+SUM(I62:I63)</f>
        <v>-9.6</v>
      </c>
      <c r="J64" s="64">
        <f t="shared" ref="J64" si="171">+SUM(J62:J63)</f>
        <v>-13.4</v>
      </c>
      <c r="K64" s="64">
        <f t="shared" ref="K64" si="172">+SUM(K62:K63)</f>
        <v>-11</v>
      </c>
      <c r="L64" s="100">
        <f t="shared" ref="L64" si="173">+SUM(L62:L63)</f>
        <v>-26.900000000000009</v>
      </c>
      <c r="M64" s="65">
        <f>+SUM(M62:M63)</f>
        <v>-60.900000000000006</v>
      </c>
      <c r="N64" s="67"/>
      <c r="O64" s="64">
        <f t="shared" ref="O64" si="174">+SUM(O62:O63)</f>
        <v>-9.6000000000000014</v>
      </c>
      <c r="P64" s="64">
        <f t="shared" ref="P64" si="175">+SUM(P62:P63)</f>
        <v>-20.9</v>
      </c>
      <c r="Q64" s="64">
        <f t="shared" ref="Q64" si="176">+SUM(Q62:Q63)</f>
        <v>-17.3</v>
      </c>
      <c r="R64" s="100">
        <f t="shared" ref="R64" si="177">+SUM(R62:R63)</f>
        <v>-21.200000000000003</v>
      </c>
      <c r="S64" s="65">
        <f>+SUM(S62:S63)</f>
        <v>-69</v>
      </c>
      <c r="U64" s="64">
        <f t="shared" ref="U64:X64" si="178">+SUM(U62:U63)</f>
        <v>-14.4</v>
      </c>
      <c r="V64" s="64">
        <f t="shared" si="178"/>
        <v>-21.3</v>
      </c>
      <c r="W64" s="64">
        <f t="shared" si="178"/>
        <v>-17.899999999999999</v>
      </c>
      <c r="X64" s="64">
        <f t="shared" si="178"/>
        <v>-53.800000000000004</v>
      </c>
      <c r="Y64" s="65">
        <f>+SUM(Y62:Y63)</f>
        <v>-107.4</v>
      </c>
      <c r="AA64" s="64">
        <f t="shared" ref="AA64" si="179">+SUM(AA62:AA63)</f>
        <v>-31.7</v>
      </c>
      <c r="AB64" s="64">
        <f t="shared" ref="AB64:AD64" si="180">+SUM(AB62:AB63)</f>
        <v>-55.699999999999996</v>
      </c>
      <c r="AC64" s="64">
        <f t="shared" si="180"/>
        <v>-47.300000000000004</v>
      </c>
      <c r="AD64" s="64">
        <f t="shared" si="180"/>
        <v>-92.9</v>
      </c>
      <c r="AE64" s="65">
        <f>+SUM(AE62:AE63)</f>
        <v>-227.60000000000002</v>
      </c>
      <c r="AG64" s="64">
        <f t="shared" ref="AG64" si="181">+SUM(AG62:AG63)</f>
        <v>-43.5</v>
      </c>
      <c r="AH64" s="220"/>
      <c r="AI64" s="220"/>
      <c r="AJ64" s="220"/>
      <c r="AK64" s="221"/>
      <c r="AM64" s="220"/>
      <c r="AN64" s="220"/>
      <c r="AO64" s="220"/>
      <c r="AP64" s="220"/>
      <c r="AQ64" s="221"/>
      <c r="AS64" s="244"/>
      <c r="AT64" s="220"/>
      <c r="AU64" s="244"/>
      <c r="AV64" s="292"/>
      <c r="AW64" s="247"/>
      <c r="AY64" s="244"/>
      <c r="AZ64" s="220"/>
      <c r="BA64" s="244"/>
      <c r="BB64" s="292"/>
      <c r="BC64" s="247"/>
    </row>
    <row r="65" spans="1:55" ht="12.75" customHeight="1" x14ac:dyDescent="0.2">
      <c r="A65" s="1"/>
      <c r="C65" s="61"/>
      <c r="D65" s="61"/>
      <c r="E65" s="61"/>
      <c r="F65" s="187"/>
      <c r="G65" s="60"/>
      <c r="H65" s="24"/>
      <c r="I65" s="61"/>
      <c r="J65" s="61"/>
      <c r="K65" s="61"/>
      <c r="L65" s="187"/>
      <c r="M65" s="60"/>
      <c r="N65" s="24"/>
      <c r="O65" s="61"/>
      <c r="P65" s="61"/>
      <c r="Q65" s="61"/>
      <c r="R65" s="187"/>
      <c r="S65" s="60"/>
      <c r="U65" s="61"/>
      <c r="V65" s="61"/>
      <c r="W65" s="61"/>
      <c r="X65" s="187"/>
      <c r="Y65" s="60"/>
      <c r="AA65" s="61"/>
      <c r="AB65" s="61"/>
      <c r="AC65" s="61"/>
      <c r="AD65" s="187"/>
      <c r="AE65" s="60"/>
      <c r="AG65" s="61"/>
      <c r="AH65" s="61"/>
      <c r="AI65" s="61"/>
      <c r="AJ65" s="187"/>
      <c r="AK65" s="60"/>
      <c r="AM65" s="61"/>
      <c r="AN65" s="61"/>
      <c r="AO65" s="61"/>
      <c r="AP65" s="187"/>
      <c r="AQ65" s="60"/>
      <c r="AS65" s="3"/>
      <c r="AT65" s="61"/>
      <c r="AU65" s="3"/>
      <c r="AV65" s="297"/>
      <c r="AW65" s="29"/>
      <c r="AY65" s="3"/>
      <c r="AZ65" s="61"/>
      <c r="BA65" s="3"/>
      <c r="BB65" s="297"/>
      <c r="BC65" s="29"/>
    </row>
    <row r="66" spans="1:55" ht="12.75" customHeight="1" x14ac:dyDescent="0.2">
      <c r="A66" s="1" t="s">
        <v>197</v>
      </c>
      <c r="B66" s="1"/>
      <c r="C66" s="1"/>
      <c r="D66" s="1"/>
      <c r="E66" s="1"/>
      <c r="F66" s="1"/>
      <c r="G66" s="28"/>
      <c r="H66" s="1"/>
      <c r="I66" s="1"/>
      <c r="J66" s="1"/>
      <c r="K66" s="1"/>
      <c r="L66" s="1"/>
      <c r="M66" s="28"/>
      <c r="N66" s="1"/>
      <c r="O66" s="1"/>
      <c r="P66" s="1"/>
      <c r="Q66" s="1"/>
      <c r="R66" s="1"/>
      <c r="S66" s="28"/>
      <c r="T66" s="1"/>
      <c r="U66" s="1"/>
      <c r="V66" s="1"/>
      <c r="W66" s="1"/>
      <c r="X66" s="1"/>
      <c r="Y66" s="28"/>
      <c r="AA66" s="1"/>
      <c r="AB66" s="1"/>
      <c r="AC66" s="1"/>
      <c r="AD66" s="1"/>
      <c r="AE66" s="28"/>
      <c r="AG66" s="1"/>
      <c r="AH66" s="1"/>
      <c r="AI66" s="1"/>
      <c r="AJ66" s="1"/>
      <c r="AK66" s="28"/>
      <c r="AM66" s="1"/>
      <c r="AN66" s="1"/>
      <c r="AO66" s="1"/>
      <c r="AP66" s="1"/>
      <c r="AQ66" s="28"/>
      <c r="AS66" s="3"/>
      <c r="AT66" s="1"/>
      <c r="AU66" s="3"/>
      <c r="AV66" s="295"/>
      <c r="AW66" s="29"/>
      <c r="AY66" s="3"/>
      <c r="AZ66" s="1"/>
      <c r="BA66" s="3"/>
      <c r="BB66" s="295"/>
      <c r="BC66" s="29"/>
    </row>
    <row r="67" spans="1:55" ht="12.75" customHeight="1" x14ac:dyDescent="0.2">
      <c r="A67" s="2" t="s">
        <v>141</v>
      </c>
      <c r="B67" s="1"/>
      <c r="C67" s="152">
        <v>-35.5</v>
      </c>
      <c r="D67" s="152">
        <v>-7.8</v>
      </c>
      <c r="E67" s="152">
        <v>16.600000000000001</v>
      </c>
      <c r="F67" s="152">
        <v>41.9</v>
      </c>
      <c r="G67" s="60">
        <f>SUM(C67:F67)</f>
        <v>15.200000000000003</v>
      </c>
      <c r="H67" s="1"/>
      <c r="I67" s="152">
        <v>-140.5</v>
      </c>
      <c r="J67" s="152">
        <v>28.9</v>
      </c>
      <c r="K67" s="152">
        <v>-44.2</v>
      </c>
      <c r="L67" s="152">
        <v>60.4</v>
      </c>
      <c r="M67" s="60">
        <f>SUM(I67:L67)</f>
        <v>-95.4</v>
      </c>
      <c r="N67" s="1"/>
      <c r="O67" s="152">
        <v>-58.2</v>
      </c>
      <c r="P67" s="152">
        <v>2.6000000000000014</v>
      </c>
      <c r="Q67" s="152">
        <v>-2.6999999999999993</v>
      </c>
      <c r="R67" s="152">
        <v>123.79999999999998</v>
      </c>
      <c r="S67" s="60">
        <f>SUM(O67:R67)</f>
        <v>65.499999999999986</v>
      </c>
      <c r="T67" s="1"/>
      <c r="U67" s="152">
        <v>-128.30000000000001</v>
      </c>
      <c r="V67" s="152">
        <f t="shared" ref="V67:X68" si="182">+V57+V62</f>
        <v>-27.3</v>
      </c>
      <c r="W67" s="152">
        <f t="shared" si="182"/>
        <v>144.4</v>
      </c>
      <c r="X67" s="152">
        <f t="shared" si="182"/>
        <v>55.999999999999993</v>
      </c>
      <c r="Y67" s="60">
        <f>SUM(U67:X67)</f>
        <v>44.799999999999976</v>
      </c>
      <c r="AA67" s="152">
        <f t="shared" ref="AA67:AD67" si="183">+AA57+AA62</f>
        <v>-51</v>
      </c>
      <c r="AB67" s="152">
        <f t="shared" si="183"/>
        <v>-152.1</v>
      </c>
      <c r="AC67" s="152">
        <f t="shared" si="183"/>
        <v>105.39999999999999</v>
      </c>
      <c r="AD67" s="152">
        <f t="shared" si="183"/>
        <v>93.199999999999989</v>
      </c>
      <c r="AE67" s="60">
        <f>SUM(AA67:AD67)</f>
        <v>-4.5000000000000142</v>
      </c>
      <c r="AG67" s="152">
        <f t="shared" ref="AG67:AJ67" si="184">+AG57+AG62</f>
        <v>-79.199999999999989</v>
      </c>
      <c r="AH67" s="152">
        <f>+AH57+AH62</f>
        <v>88.1</v>
      </c>
      <c r="AI67" s="152">
        <v>-41.4</v>
      </c>
      <c r="AJ67" s="152">
        <f t="shared" si="184"/>
        <v>141.6</v>
      </c>
      <c r="AK67" s="60">
        <f>SUM(AG67:AJ67)</f>
        <v>109.1</v>
      </c>
      <c r="AM67" s="152">
        <f t="shared" ref="AM67" si="185">+AM57+AM62</f>
        <v>-97.6</v>
      </c>
      <c r="AN67" s="152">
        <v>290.5</v>
      </c>
      <c r="AO67" s="152">
        <v>90.7</v>
      </c>
      <c r="AP67" s="152">
        <f>+AQ67-SUM(AM67:AO67)</f>
        <v>20.899999999999977</v>
      </c>
      <c r="AQ67" s="60">
        <f>+AQ57+AQ62</f>
        <v>304.5</v>
      </c>
      <c r="AS67" s="4">
        <v>-16</v>
      </c>
      <c r="AT67" s="234">
        <f>+AT57+AT62</f>
        <v>542</v>
      </c>
      <c r="AU67" s="4">
        <v>-134</v>
      </c>
      <c r="AV67" s="10">
        <v>152</v>
      </c>
      <c r="AW67" s="29">
        <f>+SUM(AS67:AV67)</f>
        <v>544</v>
      </c>
      <c r="AY67" s="4">
        <v>-308</v>
      </c>
      <c r="AZ67" s="234">
        <f>+AZ57+AZ62</f>
        <v>-175</v>
      </c>
      <c r="BA67" s="234">
        <f>+BA57+BA62</f>
        <v>-102</v>
      </c>
      <c r="BC67" s="29">
        <f>+SUM(AY67:BB67)</f>
        <v>-585</v>
      </c>
    </row>
    <row r="68" spans="1:55" ht="12.75" customHeight="1" x14ac:dyDescent="0.2">
      <c r="A68" s="2" t="s">
        <v>140</v>
      </c>
      <c r="B68" s="1"/>
      <c r="C68" s="152">
        <v>0.5</v>
      </c>
      <c r="D68" s="152">
        <v>-4.8</v>
      </c>
      <c r="E68" s="152">
        <v>-0.5</v>
      </c>
      <c r="F68" s="152">
        <v>-3.1000000000000005</v>
      </c>
      <c r="G68" s="60">
        <f>SUM(C68:F68)</f>
        <v>-7.9</v>
      </c>
      <c r="H68" s="1"/>
      <c r="I68" s="152">
        <v>-0.9</v>
      </c>
      <c r="J68" s="152">
        <v>-5.9</v>
      </c>
      <c r="K68" s="152">
        <v>-1.6</v>
      </c>
      <c r="L68" s="152">
        <v>0.70000000000000062</v>
      </c>
      <c r="M68" s="60">
        <f>SUM(I68:L68)</f>
        <v>-7.6999999999999993</v>
      </c>
      <c r="N68" s="1"/>
      <c r="O68" s="152">
        <v>-6</v>
      </c>
      <c r="P68" s="152">
        <v>-0.40000000000000036</v>
      </c>
      <c r="Q68" s="152">
        <v>-3.6</v>
      </c>
      <c r="R68" s="152">
        <v>0.5</v>
      </c>
      <c r="S68" s="60">
        <f>SUM(O68:R68)</f>
        <v>-9.5</v>
      </c>
      <c r="T68" s="1"/>
      <c r="U68" s="152">
        <v>-7.6</v>
      </c>
      <c r="V68" s="152">
        <f t="shared" si="182"/>
        <v>-5.8</v>
      </c>
      <c r="W68" s="152">
        <f t="shared" si="182"/>
        <v>-3.6</v>
      </c>
      <c r="X68" s="152">
        <f t="shared" si="182"/>
        <v>1.0999999999999996</v>
      </c>
      <c r="Y68" s="60">
        <f>SUM(U68:X68)</f>
        <v>-15.9</v>
      </c>
      <c r="AA68" s="152">
        <f t="shared" ref="AA68:AD68" si="186">+AA58+AA63</f>
        <v>-3</v>
      </c>
      <c r="AB68" s="152">
        <f t="shared" si="186"/>
        <v>-3.1999999999999997</v>
      </c>
      <c r="AC68" s="152">
        <f t="shared" si="186"/>
        <v>-6.9</v>
      </c>
      <c r="AD68" s="152">
        <f t="shared" si="186"/>
        <v>-2.2000000000000002</v>
      </c>
      <c r="AE68" s="60">
        <f>SUM(AA68:AD68)</f>
        <v>-15.3</v>
      </c>
      <c r="AG68" s="152">
        <f t="shared" ref="AG68" si="187">+AG58+AG63</f>
        <v>-10.199999999999999</v>
      </c>
      <c r="AH68" s="224"/>
      <c r="AI68" s="224"/>
      <c r="AJ68" s="224"/>
      <c r="AK68" s="223"/>
      <c r="AM68" s="224"/>
      <c r="AN68" s="224"/>
      <c r="AO68" s="224"/>
      <c r="AP68" s="224"/>
      <c r="AQ68" s="223"/>
      <c r="AS68" s="240"/>
      <c r="AT68" s="224"/>
      <c r="AU68" s="240"/>
      <c r="AV68" s="289"/>
      <c r="AW68" s="246"/>
      <c r="AY68" s="240"/>
      <c r="AZ68" s="224"/>
      <c r="BA68" s="240"/>
      <c r="BB68" s="289"/>
      <c r="BC68" s="246"/>
    </row>
    <row r="69" spans="1:55" s="41" customFormat="1" ht="12.75" customHeight="1" x14ac:dyDescent="0.2">
      <c r="A69" s="37" t="s">
        <v>150</v>
      </c>
      <c r="C69" s="64">
        <f t="shared" ref="C69" si="188">+SUM(C67:C68)</f>
        <v>-35</v>
      </c>
      <c r="D69" s="64">
        <f t="shared" ref="D69" si="189">+SUM(D67:D68)</f>
        <v>-12.6</v>
      </c>
      <c r="E69" s="64">
        <f t="shared" ref="E69" si="190">+SUM(E67:E68)</f>
        <v>16.100000000000001</v>
      </c>
      <c r="F69" s="100">
        <f t="shared" ref="F69" si="191">+SUM(F67:F68)</f>
        <v>38.799999999999997</v>
      </c>
      <c r="G69" s="65">
        <f>+SUM(G67:G68)</f>
        <v>7.3000000000000025</v>
      </c>
      <c r="H69" s="67"/>
      <c r="I69" s="64">
        <f t="shared" ref="I69" si="192">+SUM(I67:I68)</f>
        <v>-141.4</v>
      </c>
      <c r="J69" s="64">
        <f t="shared" ref="J69" si="193">+SUM(J67:J68)</f>
        <v>23</v>
      </c>
      <c r="K69" s="64">
        <f t="shared" ref="K69" si="194">+SUM(K67:K68)</f>
        <v>-45.800000000000004</v>
      </c>
      <c r="L69" s="100">
        <f t="shared" ref="L69" si="195">+SUM(L67:L68)</f>
        <v>61.1</v>
      </c>
      <c r="M69" s="65">
        <f>+SUM(M67:M68)</f>
        <v>-103.10000000000001</v>
      </c>
      <c r="N69" s="67"/>
      <c r="O69" s="64">
        <f t="shared" ref="O69" si="196">+SUM(O67:O68)</f>
        <v>-64.2</v>
      </c>
      <c r="P69" s="64">
        <f t="shared" ref="P69" si="197">+SUM(P67:P68)</f>
        <v>2.2000000000000011</v>
      </c>
      <c r="Q69" s="64">
        <f t="shared" ref="Q69" si="198">+SUM(Q67:Q68)</f>
        <v>-6.2999999999999989</v>
      </c>
      <c r="R69" s="100">
        <f t="shared" ref="R69" si="199">+SUM(R67:R68)</f>
        <v>124.29999999999998</v>
      </c>
      <c r="S69" s="65">
        <f>+SUM(S67:S68)</f>
        <v>55.999999999999986</v>
      </c>
      <c r="U69" s="64">
        <f t="shared" ref="U69:V69" si="200">+SUM(U67:U68)</f>
        <v>-135.9</v>
      </c>
      <c r="V69" s="64">
        <f t="shared" si="200"/>
        <v>-33.1</v>
      </c>
      <c r="W69" s="64">
        <f>+SUM(W67:W68)</f>
        <v>140.80000000000001</v>
      </c>
      <c r="X69" s="64">
        <f>+SUM(X67:X68)</f>
        <v>57.099999999999994</v>
      </c>
      <c r="Y69" s="65">
        <f>+SUM(Y67:Y68)</f>
        <v>28.899999999999977</v>
      </c>
      <c r="AA69" s="64">
        <f t="shared" ref="AA69" si="201">+SUM(AA67:AA68)</f>
        <v>-54</v>
      </c>
      <c r="AB69" s="64">
        <f t="shared" ref="AB69:AD69" si="202">+SUM(AB67:AB68)</f>
        <v>-155.29999999999998</v>
      </c>
      <c r="AC69" s="64">
        <f t="shared" si="202"/>
        <v>98.499999999999986</v>
      </c>
      <c r="AD69" s="64">
        <f t="shared" si="202"/>
        <v>90.999999999999986</v>
      </c>
      <c r="AE69" s="65">
        <f>+SUM(AE67:AE68)</f>
        <v>-19.800000000000015</v>
      </c>
      <c r="AG69" s="64">
        <f t="shared" ref="AG69" si="203">+SUM(AG67:AG68)</f>
        <v>-89.399999999999991</v>
      </c>
      <c r="AH69" s="220"/>
      <c r="AI69" s="220"/>
      <c r="AJ69" s="220"/>
      <c r="AK69" s="221"/>
      <c r="AM69" s="220"/>
      <c r="AN69" s="220"/>
      <c r="AO69" s="220"/>
      <c r="AP69" s="220"/>
      <c r="AQ69" s="221"/>
      <c r="AS69" s="244"/>
      <c r="AT69" s="220"/>
      <c r="AU69" s="244"/>
      <c r="AV69" s="292"/>
      <c r="AW69" s="247"/>
      <c r="AY69" s="244"/>
      <c r="AZ69" s="220"/>
      <c r="BA69" s="244"/>
      <c r="BB69" s="292"/>
      <c r="BC69" s="247"/>
    </row>
    <row r="70" spans="1:55" s="1" customFormat="1" ht="12.75" customHeight="1" x14ac:dyDescent="0.2">
      <c r="G70" s="28"/>
      <c r="M70" s="28"/>
      <c r="S70" s="28"/>
      <c r="Y70" s="28"/>
      <c r="AE70" s="28"/>
      <c r="AK70" s="28"/>
      <c r="AQ70" s="28"/>
      <c r="AS70" s="3"/>
      <c r="AU70" s="3"/>
      <c r="AV70" s="295"/>
      <c r="AW70" s="29"/>
      <c r="AY70" s="3"/>
      <c r="BA70" s="3"/>
      <c r="BB70" s="295"/>
      <c r="BC70" s="29"/>
    </row>
    <row r="71" spans="1:55" s="1" customFormat="1" ht="12.75" customHeight="1" x14ac:dyDescent="0.2">
      <c r="A71" s="1" t="s">
        <v>188</v>
      </c>
      <c r="G71" s="28"/>
      <c r="M71" s="28"/>
      <c r="S71" s="28"/>
      <c r="Y71" s="28"/>
      <c r="AE71" s="28"/>
      <c r="AK71" s="28"/>
      <c r="AQ71" s="28"/>
      <c r="AS71" s="3"/>
      <c r="AU71" s="3"/>
      <c r="AV71" s="295"/>
      <c r="AW71" s="29"/>
      <c r="AY71" s="3"/>
      <c r="BA71" s="3"/>
      <c r="BB71" s="295"/>
      <c r="BC71" s="29"/>
    </row>
    <row r="72" spans="1:55" s="1" customFormat="1" ht="12.75" customHeight="1" x14ac:dyDescent="0.2">
      <c r="A72" s="2" t="s">
        <v>180</v>
      </c>
      <c r="C72" s="24">
        <v>-72.5</v>
      </c>
      <c r="D72" s="24">
        <v>-56.1</v>
      </c>
      <c r="E72" s="24">
        <v>-84.3</v>
      </c>
      <c r="F72" s="94">
        <v>-134.6</v>
      </c>
      <c r="G72" s="60">
        <f>+F72</f>
        <v>-134.6</v>
      </c>
      <c r="I72" s="24">
        <v>-32.799999999999997</v>
      </c>
      <c r="J72" s="24">
        <v>-65.400000000000006</v>
      </c>
      <c r="K72" s="24">
        <v>-24.5</v>
      </c>
      <c r="L72" s="94">
        <v>-108.1</v>
      </c>
      <c r="M72" s="60">
        <f>+L72</f>
        <v>-108.1</v>
      </c>
      <c r="O72" s="24">
        <v>-76.5</v>
      </c>
      <c r="P72" s="24">
        <v>-83.3</v>
      </c>
      <c r="Q72" s="24">
        <v>-65.099999999999994</v>
      </c>
      <c r="R72" s="94">
        <v>-167.1</v>
      </c>
      <c r="S72" s="60">
        <f>+R72</f>
        <v>-167.1</v>
      </c>
      <c r="U72" s="24">
        <v>-130.5</v>
      </c>
      <c r="V72" s="24">
        <v>-62.5</v>
      </c>
      <c r="W72" s="24">
        <v>-194.1</v>
      </c>
      <c r="X72" s="94">
        <v>-196.8</v>
      </c>
      <c r="Y72" s="60">
        <v>-196.8</v>
      </c>
      <c r="AA72" s="24">
        <v>-111.3</v>
      </c>
      <c r="AB72" s="24">
        <v>5.4</v>
      </c>
      <c r="AC72" s="24">
        <v>-81.5</v>
      </c>
      <c r="AD72" s="94">
        <v>-152.80000000000001</v>
      </c>
      <c r="AE72" s="60">
        <f>+AD72</f>
        <v>-152.80000000000001</v>
      </c>
      <c r="AG72" s="24">
        <v>-86.5</v>
      </c>
      <c r="AH72" s="24">
        <v>-295.5</v>
      </c>
      <c r="AI72" s="24">
        <v>-345.8</v>
      </c>
      <c r="AJ72" s="94">
        <v>-437.2</v>
      </c>
      <c r="AK72" s="60">
        <f>+AJ72</f>
        <v>-437.2</v>
      </c>
      <c r="AM72" s="24">
        <v>-330.1</v>
      </c>
      <c r="AN72" s="24">
        <v>-765.1</v>
      </c>
      <c r="AO72" s="24">
        <v>-778.5</v>
      </c>
      <c r="AP72" s="94">
        <v>-739.1</v>
      </c>
      <c r="AQ72" s="60">
        <f>+AP72</f>
        <v>-739.1</v>
      </c>
      <c r="AS72" s="4">
        <v>-780</v>
      </c>
      <c r="AT72" s="4">
        <v>-1261</v>
      </c>
      <c r="AU72" s="4">
        <v>-1175</v>
      </c>
      <c r="AV72" s="287">
        <v>-1546</v>
      </c>
      <c r="AW72" s="29">
        <f>+AV72</f>
        <v>-1546</v>
      </c>
      <c r="AY72" s="4">
        <v>-1251</v>
      </c>
      <c r="AZ72" s="4">
        <v>-1204</v>
      </c>
      <c r="BA72" s="4">
        <v>-1156</v>
      </c>
      <c r="BB72" s="287"/>
      <c r="BC72" s="29">
        <f>+BA72</f>
        <v>-1156</v>
      </c>
    </row>
    <row r="73" spans="1:55" ht="12.75" customHeight="1" x14ac:dyDescent="0.2">
      <c r="A73" s="2" t="s">
        <v>181</v>
      </c>
      <c r="C73" s="24">
        <v>36.5</v>
      </c>
      <c r="D73" s="24">
        <v>15.4</v>
      </c>
      <c r="E73" s="24">
        <v>31.2</v>
      </c>
      <c r="F73" s="94">
        <v>22.1</v>
      </c>
      <c r="G73" s="60">
        <f t="shared" ref="G73:G78" si="204">+F73</f>
        <v>22.1</v>
      </c>
      <c r="I73" s="24">
        <v>50.4</v>
      </c>
      <c r="J73" s="24">
        <v>54.6</v>
      </c>
      <c r="K73" s="24">
        <v>62.7</v>
      </c>
      <c r="L73" s="94">
        <v>46.4</v>
      </c>
      <c r="M73" s="60">
        <f t="shared" ref="M73:M78" si="205">+L73</f>
        <v>46.4</v>
      </c>
      <c r="O73" s="24">
        <v>70.099999999999994</v>
      </c>
      <c r="P73" s="24">
        <v>52.1</v>
      </c>
      <c r="Q73" s="24">
        <v>46.2</v>
      </c>
      <c r="R73" s="94">
        <v>17.5</v>
      </c>
      <c r="S73" s="60">
        <f t="shared" ref="S73:S78" si="206">+R73</f>
        <v>17.5</v>
      </c>
      <c r="U73" s="24">
        <v>76</v>
      </c>
      <c r="V73" s="24">
        <v>67.7</v>
      </c>
      <c r="W73" s="24">
        <v>57.9</v>
      </c>
      <c r="X73" s="94">
        <v>40.200000000000003</v>
      </c>
      <c r="Y73" s="60">
        <v>40.200000000000003</v>
      </c>
      <c r="AA73" s="24">
        <v>65.5</v>
      </c>
      <c r="AB73" s="24">
        <v>108.9</v>
      </c>
      <c r="AC73" s="24">
        <v>98.8</v>
      </c>
      <c r="AD73" s="94">
        <v>64.3</v>
      </c>
      <c r="AE73" s="60">
        <f t="shared" ref="AE73:AE79" si="207">+AD73</f>
        <v>64.3</v>
      </c>
      <c r="AG73" s="24">
        <v>108.9</v>
      </c>
      <c r="AH73" s="24">
        <v>72.2</v>
      </c>
      <c r="AI73" s="24">
        <v>102.7</v>
      </c>
      <c r="AJ73" s="94">
        <v>89.7</v>
      </c>
      <c r="AK73" s="60">
        <f t="shared" ref="AK73:AK76" si="208">+AJ73</f>
        <v>89.7</v>
      </c>
      <c r="AM73" s="24">
        <v>114.6</v>
      </c>
      <c r="AN73" s="24">
        <v>67.5</v>
      </c>
      <c r="AO73" s="24">
        <v>68</v>
      </c>
      <c r="AP73" s="94">
        <v>38.9</v>
      </c>
      <c r="AQ73" s="60">
        <f>+AP73</f>
        <v>38.9</v>
      </c>
      <c r="AS73" s="4">
        <v>61</v>
      </c>
      <c r="AT73" s="4">
        <v>98</v>
      </c>
      <c r="AU73" s="4">
        <v>81</v>
      </c>
      <c r="AV73" s="287">
        <v>51</v>
      </c>
      <c r="AW73" s="29">
        <f>+AV73</f>
        <v>51</v>
      </c>
      <c r="AY73" s="4">
        <v>102</v>
      </c>
      <c r="AZ73" s="4">
        <v>103</v>
      </c>
      <c r="BA73" s="4">
        <v>92</v>
      </c>
      <c r="BB73" s="287"/>
      <c r="BC73" s="29">
        <f>+BA73</f>
        <v>92</v>
      </c>
    </row>
    <row r="74" spans="1:55" ht="12.75" customHeight="1" x14ac:dyDescent="0.2">
      <c r="A74" s="2" t="s">
        <v>182</v>
      </c>
      <c r="C74" s="24">
        <v>9</v>
      </c>
      <c r="D74" s="24">
        <v>15.3</v>
      </c>
      <c r="E74" s="24">
        <v>8.6</v>
      </c>
      <c r="F74" s="94">
        <v>7.9</v>
      </c>
      <c r="G74" s="60">
        <f t="shared" si="204"/>
        <v>7.9</v>
      </c>
      <c r="I74" s="24">
        <v>15.2</v>
      </c>
      <c r="J74" s="24">
        <v>13</v>
      </c>
      <c r="K74" s="24">
        <v>7.9</v>
      </c>
      <c r="L74" s="94">
        <v>9.6999999999999993</v>
      </c>
      <c r="M74" s="60">
        <f t="shared" si="205"/>
        <v>9.6999999999999993</v>
      </c>
      <c r="O74" s="24">
        <v>16</v>
      </c>
      <c r="P74" s="24">
        <v>15.2</v>
      </c>
      <c r="Q74" s="24">
        <v>19.3</v>
      </c>
      <c r="R74" s="94">
        <v>10.4</v>
      </c>
      <c r="S74" s="60">
        <f t="shared" si="206"/>
        <v>10.4</v>
      </c>
      <c r="U74" s="24">
        <v>9.3000000000000007</v>
      </c>
      <c r="V74" s="24">
        <v>9.9</v>
      </c>
      <c r="W74" s="24">
        <v>14.5</v>
      </c>
      <c r="X74" s="94">
        <v>13.2</v>
      </c>
      <c r="Y74" s="60">
        <v>13.2</v>
      </c>
      <c r="AA74" s="24">
        <v>3.3</v>
      </c>
      <c r="AB74" s="24">
        <v>15</v>
      </c>
      <c r="AC74" s="24">
        <v>15.8</v>
      </c>
      <c r="AD74" s="94">
        <v>22.6</v>
      </c>
      <c r="AE74" s="60">
        <f t="shared" si="207"/>
        <v>22.6</v>
      </c>
      <c r="AG74" s="24">
        <v>26.3</v>
      </c>
      <c r="AH74" s="24">
        <v>28.9</v>
      </c>
      <c r="AI74" s="24">
        <v>29.5</v>
      </c>
      <c r="AJ74" s="94">
        <v>36.200000000000003</v>
      </c>
      <c r="AK74" s="60">
        <f t="shared" si="208"/>
        <v>36.200000000000003</v>
      </c>
      <c r="AM74" s="24">
        <v>36.9</v>
      </c>
      <c r="AN74" s="24">
        <v>38.5</v>
      </c>
      <c r="AO74" s="24">
        <v>33.4</v>
      </c>
      <c r="AP74" s="94">
        <v>31</v>
      </c>
      <c r="AQ74" s="60">
        <f>+AP74</f>
        <v>31</v>
      </c>
      <c r="AS74" s="4">
        <v>37</v>
      </c>
      <c r="AT74" s="4">
        <v>34</v>
      </c>
      <c r="AU74" s="4">
        <v>33</v>
      </c>
      <c r="AV74" s="287">
        <v>21</v>
      </c>
      <c r="AW74" s="29">
        <f>+AV74</f>
        <v>21</v>
      </c>
      <c r="AY74" s="4">
        <v>22</v>
      </c>
      <c r="AZ74" s="4">
        <v>8</v>
      </c>
      <c r="BA74" s="4">
        <v>16</v>
      </c>
      <c r="BB74" s="287"/>
      <c r="BC74" s="29">
        <f>+BA74</f>
        <v>16</v>
      </c>
    </row>
    <row r="75" spans="1:55" ht="12.75" customHeight="1" x14ac:dyDescent="0.2">
      <c r="A75" s="36" t="s">
        <v>189</v>
      </c>
      <c r="B75" s="36"/>
      <c r="C75" s="62">
        <v>-8.1999999999999993</v>
      </c>
      <c r="D75" s="62">
        <v>-5.2</v>
      </c>
      <c r="E75" s="62">
        <v>6.9</v>
      </c>
      <c r="F75" s="182">
        <v>-1.9</v>
      </c>
      <c r="G75" s="63">
        <f t="shared" si="204"/>
        <v>-1.9</v>
      </c>
      <c r="H75" s="24"/>
      <c r="I75" s="62">
        <v>-4.0999999999999996</v>
      </c>
      <c r="J75" s="62">
        <v>12.6</v>
      </c>
      <c r="K75" s="62">
        <v>15.1</v>
      </c>
      <c r="L75" s="182">
        <v>35.799999999999997</v>
      </c>
      <c r="M75" s="63">
        <f t="shared" si="205"/>
        <v>35.799999999999997</v>
      </c>
      <c r="N75" s="24"/>
      <c r="O75" s="62">
        <v>15.2</v>
      </c>
      <c r="P75" s="62">
        <v>20</v>
      </c>
      <c r="Q75" s="62">
        <v>-5.0999999999999996</v>
      </c>
      <c r="R75" s="182">
        <v>-7.1</v>
      </c>
      <c r="S75" s="63">
        <f t="shared" si="206"/>
        <v>-7.1</v>
      </c>
      <c r="U75" s="62">
        <v>-14.1</v>
      </c>
      <c r="V75" s="62">
        <v>-12.199999999999998</v>
      </c>
      <c r="W75" s="62">
        <v>-8.6999999999999993</v>
      </c>
      <c r="X75" s="182">
        <v>-21.1</v>
      </c>
      <c r="Y75" s="63">
        <v>-21.1</v>
      </c>
      <c r="AA75" s="62">
        <v>-22.7</v>
      </c>
      <c r="AB75" s="62">
        <v>-16.5</v>
      </c>
      <c r="AC75" s="62">
        <v>-26.5</v>
      </c>
      <c r="AD75" s="182">
        <v>-27.3</v>
      </c>
      <c r="AE75" s="63">
        <f t="shared" si="207"/>
        <v>-27.3</v>
      </c>
      <c r="AG75" s="62">
        <v>-14.1</v>
      </c>
      <c r="AH75" s="62">
        <v>-17.3</v>
      </c>
      <c r="AI75" s="62">
        <v>11.2</v>
      </c>
      <c r="AJ75" s="182">
        <v>8.3000000000000007</v>
      </c>
      <c r="AK75" s="63">
        <f t="shared" si="208"/>
        <v>8.3000000000000007</v>
      </c>
      <c r="AM75" s="62">
        <v>19.899999999999999</v>
      </c>
      <c r="AN75" s="62">
        <v>122.6</v>
      </c>
      <c r="AO75" s="62">
        <v>75.900000000000006</v>
      </c>
      <c r="AP75" s="182">
        <f>-42.1+2.5</f>
        <v>-39.6</v>
      </c>
      <c r="AQ75" s="63">
        <f>+AP75</f>
        <v>-39.6</v>
      </c>
      <c r="AS75" s="242">
        <v>15</v>
      </c>
      <c r="AT75" s="242">
        <v>-23</v>
      </c>
      <c r="AU75" s="242">
        <v>-8</v>
      </c>
      <c r="AV75" s="298">
        <v>42</v>
      </c>
      <c r="AW75" s="29">
        <f>+AV75</f>
        <v>42</v>
      </c>
      <c r="AY75" s="242">
        <v>-57</v>
      </c>
      <c r="AZ75" s="242">
        <v>-39</v>
      </c>
      <c r="BA75" s="242">
        <v>-45</v>
      </c>
      <c r="BB75" s="298"/>
      <c r="BC75" s="29">
        <f>+BA75</f>
        <v>-45</v>
      </c>
    </row>
    <row r="76" spans="1:55" s="41" customFormat="1" ht="12.75" customHeight="1" x14ac:dyDescent="0.2">
      <c r="A76" s="37" t="s">
        <v>141</v>
      </c>
      <c r="C76" s="64">
        <f>+SUM(C72:C75)</f>
        <v>-35.200000000000003</v>
      </c>
      <c r="D76" s="64">
        <f t="shared" ref="D76" si="209">+SUM(D72:D75)</f>
        <v>-30.6</v>
      </c>
      <c r="E76" s="64">
        <f t="shared" ref="E76" si="210">+SUM(E72:E75)</f>
        <v>-37.599999999999994</v>
      </c>
      <c r="F76" s="100">
        <f t="shared" ref="F76" si="211">+SUM(F72:F75)</f>
        <v>-106.5</v>
      </c>
      <c r="G76" s="65">
        <f t="shared" si="204"/>
        <v>-106.5</v>
      </c>
      <c r="H76" s="67"/>
      <c r="I76" s="64">
        <f>+SUM(I72:I75)</f>
        <v>28.699999999999996</v>
      </c>
      <c r="J76" s="64">
        <f t="shared" ref="J76" si="212">+SUM(J72:J75)</f>
        <v>14.799999999999995</v>
      </c>
      <c r="K76" s="64">
        <f t="shared" ref="K76" si="213">+SUM(K72:K75)</f>
        <v>61.2</v>
      </c>
      <c r="L76" s="100">
        <f t="shared" ref="L76" si="214">+SUM(L72:L75)</f>
        <v>-16.200000000000003</v>
      </c>
      <c r="M76" s="65">
        <f t="shared" si="205"/>
        <v>-16.200000000000003</v>
      </c>
      <c r="N76" s="67"/>
      <c r="O76" s="64">
        <f>+SUM(O72:O75)</f>
        <v>24.799999999999994</v>
      </c>
      <c r="P76" s="64">
        <f t="shared" ref="P76" si="215">+SUM(P72:P75)</f>
        <v>4.0000000000000036</v>
      </c>
      <c r="Q76" s="64">
        <f t="shared" ref="Q76" si="216">+SUM(Q72:Q75)</f>
        <v>-4.6999999999999904</v>
      </c>
      <c r="R76" s="100">
        <f t="shared" ref="R76" si="217">+SUM(R72:R75)</f>
        <v>-146.29999999999998</v>
      </c>
      <c r="S76" s="65">
        <f t="shared" si="206"/>
        <v>-146.29999999999998</v>
      </c>
      <c r="U76" s="64">
        <f>+SUM(U72:U75)</f>
        <v>-59.300000000000004</v>
      </c>
      <c r="V76" s="64">
        <f>+SUM(V72:V75)</f>
        <v>2.9000000000000057</v>
      </c>
      <c r="W76" s="64">
        <f>+SUM(W72:W75)</f>
        <v>-130.39999999999998</v>
      </c>
      <c r="X76" s="64">
        <f>+SUM(X72:X75)</f>
        <v>-164.50000000000003</v>
      </c>
      <c r="Y76" s="65">
        <f>+SUM(Y72:Y75)</f>
        <v>-164.50000000000003</v>
      </c>
      <c r="AA76" s="64">
        <f>+SUM(AA72:AA75)</f>
        <v>-65.2</v>
      </c>
      <c r="AB76" s="64">
        <f t="shared" ref="AB76:AD76" si="218">+SUM(AB72:AB75)</f>
        <v>112.80000000000001</v>
      </c>
      <c r="AC76" s="64">
        <f t="shared" si="218"/>
        <v>6.5999999999999943</v>
      </c>
      <c r="AD76" s="64">
        <f t="shared" si="218"/>
        <v>-93.2</v>
      </c>
      <c r="AE76" s="65">
        <f t="shared" si="207"/>
        <v>-93.2</v>
      </c>
      <c r="AG76" s="64">
        <f>+SUM(AG72:AG75)</f>
        <v>34.6</v>
      </c>
      <c r="AH76" s="64">
        <f t="shared" ref="AH76:AJ76" si="219">+SUM(AH72:AH75)</f>
        <v>-211.70000000000002</v>
      </c>
      <c r="AI76" s="64">
        <f t="shared" si="219"/>
        <v>-202.40000000000003</v>
      </c>
      <c r="AJ76" s="64">
        <f t="shared" si="219"/>
        <v>-303</v>
      </c>
      <c r="AK76" s="65">
        <f t="shared" si="208"/>
        <v>-303</v>
      </c>
      <c r="AM76" s="64">
        <f>+SUM(AM72:AM75)</f>
        <v>-158.70000000000002</v>
      </c>
      <c r="AN76" s="64">
        <f>+SUM(AN72:AN75)</f>
        <v>-536.5</v>
      </c>
      <c r="AO76" s="64">
        <f>+SUM(AO72:AO75)</f>
        <v>-601.20000000000005</v>
      </c>
      <c r="AP76" s="64">
        <f>+SUM(AP72:AP75)</f>
        <v>-708.80000000000007</v>
      </c>
      <c r="AQ76" s="65">
        <f>+AP76</f>
        <v>-708.80000000000007</v>
      </c>
      <c r="AS76" s="38">
        <f>+SUM(AS72:AS75)</f>
        <v>-667</v>
      </c>
      <c r="AT76" s="38">
        <f>+SUM(AT72:AT75)</f>
        <v>-1152</v>
      </c>
      <c r="AU76" s="38">
        <f>+SUM(AU72:AU75)</f>
        <v>-1069</v>
      </c>
      <c r="AV76" s="288">
        <f>+SUM(AV72:AV75)</f>
        <v>-1432</v>
      </c>
      <c r="AW76" s="255">
        <f>+AV76</f>
        <v>-1432</v>
      </c>
      <c r="AY76" s="38">
        <f>+SUM(AY72:AY75)</f>
        <v>-1184</v>
      </c>
      <c r="AZ76" s="38">
        <f>+SUM(AZ72:AZ75)</f>
        <v>-1132</v>
      </c>
      <c r="BA76" s="38">
        <f>+SUM(BA72:BA75)</f>
        <v>-1093</v>
      </c>
      <c r="BB76" s="288"/>
      <c r="BC76" s="255">
        <f>+BA76</f>
        <v>-1093</v>
      </c>
    </row>
    <row r="77" spans="1:55" ht="12.75" customHeight="1" x14ac:dyDescent="0.2">
      <c r="A77" s="2" t="s">
        <v>140</v>
      </c>
      <c r="C77" s="24">
        <v>12.2</v>
      </c>
      <c r="D77" s="24">
        <v>16.2</v>
      </c>
      <c r="E77" s="24">
        <v>17</v>
      </c>
      <c r="F77" s="94">
        <v>23.1</v>
      </c>
      <c r="G77" s="60">
        <f t="shared" si="204"/>
        <v>23.1</v>
      </c>
      <c r="H77" s="24"/>
      <c r="I77" s="24">
        <v>19.600000000000001</v>
      </c>
      <c r="J77" s="24">
        <v>22.5</v>
      </c>
      <c r="K77" s="24">
        <v>20.9</v>
      </c>
      <c r="L77" s="94">
        <v>24</v>
      </c>
      <c r="M77" s="60">
        <f t="shared" si="205"/>
        <v>24</v>
      </c>
      <c r="N77" s="24"/>
      <c r="O77" s="24">
        <v>26.6</v>
      </c>
      <c r="P77" s="24">
        <v>26.9</v>
      </c>
      <c r="Q77" s="24">
        <v>27.8</v>
      </c>
      <c r="R77" s="94">
        <v>28.2</v>
      </c>
      <c r="S77" s="60">
        <f t="shared" si="206"/>
        <v>28.2</v>
      </c>
      <c r="U77" s="24">
        <v>29.3</v>
      </c>
      <c r="V77" s="24">
        <v>30.8</v>
      </c>
      <c r="W77" s="24">
        <v>30.9</v>
      </c>
      <c r="X77" s="94">
        <v>27.4</v>
      </c>
      <c r="Y77" s="60">
        <v>27.4</v>
      </c>
      <c r="AA77" s="24">
        <v>26.3</v>
      </c>
      <c r="AB77" s="24">
        <v>25.8</v>
      </c>
      <c r="AC77" s="24">
        <v>31.8</v>
      </c>
      <c r="AD77" s="94">
        <v>33.6</v>
      </c>
      <c r="AE77" s="60">
        <f t="shared" si="207"/>
        <v>33.6</v>
      </c>
      <c r="AG77" s="24">
        <v>31.2</v>
      </c>
      <c r="AH77" s="219"/>
      <c r="AI77" s="219"/>
      <c r="AJ77" s="219"/>
      <c r="AK77" s="219"/>
      <c r="AM77" s="219"/>
      <c r="AN77" s="219"/>
      <c r="AO77" s="219"/>
      <c r="AP77" s="219"/>
      <c r="AQ77" s="219"/>
      <c r="AS77" s="219"/>
      <c r="AT77" s="219"/>
      <c r="AU77" s="240"/>
      <c r="AV77" s="289"/>
      <c r="AW77" s="219"/>
      <c r="AY77" s="219"/>
      <c r="AZ77" s="219"/>
      <c r="BA77" s="240"/>
      <c r="BB77" s="289"/>
      <c r="BC77" s="219"/>
    </row>
    <row r="78" spans="1:55" ht="12.75" customHeight="1" x14ac:dyDescent="0.2">
      <c r="A78" s="2" t="s">
        <v>189</v>
      </c>
      <c r="C78" s="24">
        <v>0</v>
      </c>
      <c r="D78" s="24">
        <v>0</v>
      </c>
      <c r="E78" s="24">
        <v>0</v>
      </c>
      <c r="F78" s="94">
        <v>-0.1</v>
      </c>
      <c r="G78" s="60">
        <f t="shared" si="204"/>
        <v>-0.1</v>
      </c>
      <c r="H78" s="24"/>
      <c r="I78" s="24">
        <v>0</v>
      </c>
      <c r="J78" s="24">
        <v>0</v>
      </c>
      <c r="K78" s="24">
        <v>0</v>
      </c>
      <c r="L78" s="94">
        <v>-0.1</v>
      </c>
      <c r="M78" s="60">
        <f t="shared" si="205"/>
        <v>-0.1</v>
      </c>
      <c r="N78" s="24"/>
      <c r="O78" s="24">
        <v>0</v>
      </c>
      <c r="P78" s="24">
        <v>0</v>
      </c>
      <c r="Q78" s="24">
        <v>0</v>
      </c>
      <c r="R78" s="94">
        <v>0</v>
      </c>
      <c r="S78" s="60">
        <f t="shared" si="206"/>
        <v>0</v>
      </c>
      <c r="U78" s="24">
        <v>0</v>
      </c>
      <c r="V78" s="24">
        <v>0</v>
      </c>
      <c r="W78" s="24">
        <v>0</v>
      </c>
      <c r="X78" s="94">
        <v>0</v>
      </c>
      <c r="Y78" s="60">
        <v>0</v>
      </c>
      <c r="AA78" s="24">
        <v>0</v>
      </c>
      <c r="AB78" s="24">
        <v>0</v>
      </c>
      <c r="AC78" s="24">
        <v>0</v>
      </c>
      <c r="AD78" s="94">
        <v>0</v>
      </c>
      <c r="AE78" s="60">
        <f t="shared" si="207"/>
        <v>0</v>
      </c>
      <c r="AG78" s="24">
        <v>0</v>
      </c>
      <c r="AH78" s="219"/>
      <c r="AI78" s="219"/>
      <c r="AJ78" s="219"/>
      <c r="AK78" s="219"/>
      <c r="AM78" s="219"/>
      <c r="AN78" s="219"/>
      <c r="AO78" s="219"/>
      <c r="AP78" s="219"/>
      <c r="AQ78" s="219"/>
      <c r="AS78" s="219"/>
      <c r="AT78" s="219"/>
      <c r="AU78" s="240"/>
      <c r="AV78" s="289"/>
      <c r="AW78" s="219"/>
      <c r="AY78" s="219"/>
      <c r="AZ78" s="219"/>
      <c r="BA78" s="240"/>
      <c r="BB78" s="289"/>
      <c r="BC78" s="219"/>
    </row>
    <row r="79" spans="1:55" s="41" customFormat="1" ht="12.75" customHeight="1" x14ac:dyDescent="0.2">
      <c r="A79" s="37" t="s">
        <v>150</v>
      </c>
      <c r="C79" s="64">
        <f>+SUM(C76:C78)</f>
        <v>-23.000000000000004</v>
      </c>
      <c r="D79" s="64">
        <f t="shared" ref="D79:X79" si="220">+SUM(D76:D78)</f>
        <v>-14.400000000000002</v>
      </c>
      <c r="E79" s="64">
        <f t="shared" si="220"/>
        <v>-20.599999999999994</v>
      </c>
      <c r="F79" s="100">
        <f t="shared" si="220"/>
        <v>-83.5</v>
      </c>
      <c r="G79" s="65">
        <f t="shared" si="220"/>
        <v>-83.5</v>
      </c>
      <c r="H79" s="67"/>
      <c r="I79" s="64">
        <f t="shared" si="220"/>
        <v>48.3</v>
      </c>
      <c r="J79" s="64">
        <f t="shared" si="220"/>
        <v>37.299999999999997</v>
      </c>
      <c r="K79" s="64">
        <f t="shared" si="220"/>
        <v>82.1</v>
      </c>
      <c r="L79" s="100">
        <f t="shared" si="220"/>
        <v>7.6999999999999975</v>
      </c>
      <c r="M79" s="65">
        <f t="shared" si="220"/>
        <v>7.6999999999999975</v>
      </c>
      <c r="N79" s="67"/>
      <c r="O79" s="64">
        <f t="shared" si="220"/>
        <v>51.399999999999991</v>
      </c>
      <c r="P79" s="64">
        <f t="shared" si="220"/>
        <v>30.900000000000002</v>
      </c>
      <c r="Q79" s="64">
        <f t="shared" si="220"/>
        <v>23.100000000000009</v>
      </c>
      <c r="R79" s="100">
        <f t="shared" si="220"/>
        <v>-118.09999999999998</v>
      </c>
      <c r="S79" s="65">
        <f t="shared" si="220"/>
        <v>-118.09999999999998</v>
      </c>
      <c r="U79" s="64">
        <f t="shared" si="220"/>
        <v>-30.000000000000004</v>
      </c>
      <c r="V79" s="64">
        <f t="shared" si="220"/>
        <v>33.700000000000003</v>
      </c>
      <c r="W79" s="64">
        <f t="shared" si="220"/>
        <v>-99.499999999999972</v>
      </c>
      <c r="X79" s="100">
        <f t="shared" si="220"/>
        <v>-137.10000000000002</v>
      </c>
      <c r="Y79" s="65">
        <f t="shared" ref="Y79" si="221">+SUM(Y76:Y78)</f>
        <v>-137.10000000000002</v>
      </c>
      <c r="AA79" s="64">
        <f t="shared" ref="AA79" si="222">+SUM(AA76:AA78)</f>
        <v>-38.900000000000006</v>
      </c>
      <c r="AB79" s="64">
        <f t="shared" ref="AB79:AD79" si="223">+SUM(AB76:AB78)</f>
        <v>138.60000000000002</v>
      </c>
      <c r="AC79" s="64">
        <f t="shared" si="223"/>
        <v>38.399999999999991</v>
      </c>
      <c r="AD79" s="100">
        <f t="shared" si="223"/>
        <v>-59.6</v>
      </c>
      <c r="AE79" s="65">
        <f t="shared" si="207"/>
        <v>-59.6</v>
      </c>
      <c r="AG79" s="64">
        <f t="shared" ref="AG79" si="224">+SUM(AG76:AG78)</f>
        <v>65.8</v>
      </c>
      <c r="AH79" s="220"/>
      <c r="AI79" s="220"/>
      <c r="AJ79" s="220"/>
      <c r="AK79" s="220"/>
      <c r="AM79" s="220"/>
      <c r="AN79" s="220"/>
      <c r="AO79" s="220"/>
      <c r="AP79" s="220"/>
      <c r="AQ79" s="220"/>
      <c r="AS79" s="220"/>
      <c r="AT79" s="220"/>
      <c r="AU79" s="244"/>
      <c r="AV79" s="292"/>
      <c r="AW79" s="220"/>
      <c r="AY79" s="220"/>
      <c r="AZ79" s="220"/>
      <c r="BA79" s="244"/>
      <c r="BB79" s="292"/>
      <c r="BC79" s="220"/>
    </row>
    <row r="80" spans="1:55" ht="12.75" customHeight="1" x14ac:dyDescent="0.2">
      <c r="C80" s="24"/>
      <c r="D80" s="24"/>
      <c r="E80" s="24"/>
      <c r="F80" s="94"/>
      <c r="G80" s="60"/>
      <c r="H80" s="24"/>
      <c r="I80" s="24"/>
      <c r="J80" s="24"/>
      <c r="K80" s="24"/>
      <c r="L80" s="94"/>
      <c r="M80" s="60"/>
      <c r="N80" s="24"/>
      <c r="O80" s="24"/>
      <c r="P80" s="24"/>
      <c r="Q80" s="24"/>
      <c r="R80" s="94"/>
      <c r="S80" s="60"/>
      <c r="U80" s="24"/>
      <c r="V80" s="24"/>
      <c r="W80" s="24"/>
      <c r="X80" s="94"/>
      <c r="Y80" s="60"/>
      <c r="AA80" s="24"/>
      <c r="AB80" s="24"/>
      <c r="AC80" s="24"/>
      <c r="AD80" s="94"/>
      <c r="AE80" s="60"/>
      <c r="AG80" s="24"/>
      <c r="AH80" s="24"/>
      <c r="AI80" s="24"/>
      <c r="AJ80" s="94"/>
      <c r="AK80" s="60"/>
      <c r="AM80" s="24"/>
      <c r="AN80" s="24"/>
      <c r="AO80" s="24"/>
      <c r="AP80" s="94"/>
      <c r="AQ80" s="60"/>
      <c r="AS80" s="24"/>
      <c r="AT80" s="24"/>
      <c r="AU80" s="4"/>
      <c r="AV80" s="287"/>
      <c r="AW80" s="60"/>
      <c r="AY80" s="24"/>
      <c r="AZ80" s="24"/>
      <c r="BA80" s="4"/>
      <c r="BB80" s="287"/>
      <c r="BC80" s="60"/>
    </row>
    <row r="81" spans="1:55" ht="12.75" customHeight="1" x14ac:dyDescent="0.2">
      <c r="A81" s="1" t="s">
        <v>194</v>
      </c>
      <c r="B81" s="1"/>
      <c r="C81" s="1"/>
      <c r="D81" s="1"/>
      <c r="E81" s="1"/>
      <c r="F81" s="1"/>
      <c r="G81" s="28"/>
      <c r="H81" s="1"/>
      <c r="I81" s="1"/>
      <c r="J81" s="1"/>
      <c r="K81" s="1"/>
      <c r="L81" s="1"/>
      <c r="M81" s="28"/>
      <c r="N81" s="1"/>
      <c r="O81" s="1"/>
      <c r="P81" s="1"/>
      <c r="Q81" s="1"/>
      <c r="R81" s="1"/>
      <c r="S81" s="28"/>
      <c r="T81" s="1"/>
      <c r="U81" s="1"/>
      <c r="V81" s="1"/>
      <c r="W81" s="1"/>
      <c r="X81" s="1"/>
      <c r="Y81" s="28"/>
      <c r="AA81" s="1"/>
      <c r="AB81" s="1"/>
      <c r="AC81" s="1"/>
      <c r="AD81" s="1"/>
      <c r="AE81" s="28"/>
      <c r="AG81" s="1"/>
      <c r="AH81" s="1"/>
      <c r="AI81" s="1"/>
      <c r="AJ81" s="1"/>
      <c r="AK81" s="28"/>
      <c r="AM81" s="1"/>
      <c r="AN81" s="1"/>
      <c r="AO81" s="1"/>
      <c r="AP81" s="1"/>
      <c r="AQ81" s="28"/>
      <c r="AS81" s="1"/>
      <c r="AT81" s="1"/>
      <c r="AU81" s="3"/>
      <c r="AV81" s="295"/>
      <c r="AW81" s="28"/>
      <c r="AY81" s="1"/>
      <c r="AZ81" s="1"/>
      <c r="BA81" s="3"/>
      <c r="BB81" s="295"/>
      <c r="BC81" s="28"/>
    </row>
    <row r="82" spans="1:55" ht="12.75" customHeight="1" x14ac:dyDescent="0.2">
      <c r="A82" s="2" t="s">
        <v>180</v>
      </c>
      <c r="B82" s="1"/>
      <c r="C82" s="199"/>
      <c r="D82" s="199"/>
      <c r="E82" s="199"/>
      <c r="F82" s="200"/>
      <c r="G82" s="201"/>
      <c r="H82" s="1"/>
      <c r="I82" s="6">
        <v>0.06</v>
      </c>
      <c r="J82" s="6">
        <v>0.12</v>
      </c>
      <c r="K82" s="6">
        <v>0</v>
      </c>
      <c r="L82" s="200"/>
      <c r="M82" s="30">
        <v>-0.04</v>
      </c>
      <c r="N82" s="1"/>
      <c r="O82" s="6">
        <v>-0.28999999999999998</v>
      </c>
      <c r="P82" s="6">
        <v>-0.28999999999999998</v>
      </c>
      <c r="Q82" s="6">
        <v>-0.32</v>
      </c>
      <c r="R82" s="7">
        <v>0.35</v>
      </c>
      <c r="S82" s="30">
        <v>-0.18</v>
      </c>
      <c r="T82" s="1"/>
      <c r="U82" s="6">
        <v>0.37</v>
      </c>
      <c r="V82" s="6">
        <v>0.21</v>
      </c>
      <c r="W82" s="6">
        <v>0.47</v>
      </c>
      <c r="X82" s="6">
        <v>0.06</v>
      </c>
      <c r="Y82" s="209">
        <v>0.26</v>
      </c>
      <c r="AA82" s="6">
        <v>0.27</v>
      </c>
      <c r="AB82" s="6">
        <v>0.19</v>
      </c>
      <c r="AC82" s="6">
        <v>0.05</v>
      </c>
      <c r="AD82" s="6">
        <v>-0.1</v>
      </c>
      <c r="AE82" s="209">
        <v>0.09</v>
      </c>
      <c r="AG82" s="6">
        <v>-0.04</v>
      </c>
      <c r="AH82" s="6">
        <v>0.22</v>
      </c>
      <c r="AI82" s="6">
        <v>0.1</v>
      </c>
      <c r="AJ82" s="6">
        <v>0.6</v>
      </c>
      <c r="AK82" s="209">
        <v>0.21</v>
      </c>
      <c r="AM82" s="6">
        <v>0.47</v>
      </c>
      <c r="AN82" s="6">
        <v>0.51</v>
      </c>
      <c r="AO82" s="6">
        <v>0.69</v>
      </c>
      <c r="AP82" s="6">
        <v>0.65</v>
      </c>
      <c r="AQ82" s="209">
        <v>0.59</v>
      </c>
      <c r="AS82" s="6">
        <v>0.5</v>
      </c>
      <c r="AT82" s="271">
        <v>0.33</v>
      </c>
      <c r="AU82" s="6">
        <v>0.42</v>
      </c>
      <c r="AV82" s="6">
        <v>0.34</v>
      </c>
      <c r="AW82" s="30">
        <v>0.39</v>
      </c>
      <c r="AY82" s="6">
        <v>0.2</v>
      </c>
      <c r="AZ82" s="271">
        <v>0.18</v>
      </c>
      <c r="BA82" s="6">
        <v>0.08</v>
      </c>
      <c r="BB82" s="6"/>
      <c r="BC82" s="30">
        <v>0.15</v>
      </c>
    </row>
    <row r="83" spans="1:55" ht="12.75" customHeight="1" x14ac:dyDescent="0.2">
      <c r="A83" s="2" t="s">
        <v>181</v>
      </c>
      <c r="C83" s="199"/>
      <c r="D83" s="199"/>
      <c r="E83" s="199"/>
      <c r="F83" s="200"/>
      <c r="G83" s="201"/>
      <c r="I83" s="6">
        <v>0.04</v>
      </c>
      <c r="J83" s="6">
        <v>0.11</v>
      </c>
      <c r="K83" s="6">
        <v>-0.02</v>
      </c>
      <c r="L83" s="200"/>
      <c r="M83" s="30">
        <v>0.05</v>
      </c>
      <c r="O83" s="6">
        <v>0.03</v>
      </c>
      <c r="P83" s="6">
        <v>-0.08</v>
      </c>
      <c r="Q83" s="6">
        <v>0.03</v>
      </c>
      <c r="R83" s="7">
        <v>-0.04</v>
      </c>
      <c r="S83" s="30">
        <v>-0.02</v>
      </c>
      <c r="U83" s="6">
        <v>0.03</v>
      </c>
      <c r="V83" s="6">
        <v>0.1</v>
      </c>
      <c r="W83" s="6">
        <v>0.05</v>
      </c>
      <c r="X83" s="6">
        <v>-0.08</v>
      </c>
      <c r="Y83" s="209">
        <v>0.03</v>
      </c>
      <c r="AA83" s="6">
        <v>0.02</v>
      </c>
      <c r="AB83" s="6">
        <v>0.06</v>
      </c>
      <c r="AC83" s="6">
        <v>0.15</v>
      </c>
      <c r="AD83" s="6">
        <v>0.33</v>
      </c>
      <c r="AE83" s="209">
        <v>0.13</v>
      </c>
      <c r="AG83" s="6">
        <v>0.32</v>
      </c>
      <c r="AH83" s="6">
        <v>0.16</v>
      </c>
      <c r="AI83" s="6">
        <v>7.0000000000000007E-2</v>
      </c>
      <c r="AJ83" s="6">
        <v>0.25</v>
      </c>
      <c r="AK83" s="209">
        <v>0.19</v>
      </c>
      <c r="AM83" s="6">
        <v>0.32</v>
      </c>
      <c r="AN83" s="6">
        <v>0.15</v>
      </c>
      <c r="AO83" s="6">
        <v>0.18</v>
      </c>
      <c r="AP83" s="6">
        <v>0.03</v>
      </c>
      <c r="AQ83" s="209">
        <v>0.15</v>
      </c>
      <c r="AS83" s="6">
        <v>-0.08</v>
      </c>
      <c r="AT83" s="271">
        <v>0.03</v>
      </c>
      <c r="AU83" s="6">
        <v>-0.01</v>
      </c>
      <c r="AV83" s="6">
        <v>-0.04</v>
      </c>
      <c r="AW83" s="30">
        <f>+AVERAGE(AS83:AU83)</f>
        <v>-0.02</v>
      </c>
      <c r="AY83" s="6">
        <v>0.11</v>
      </c>
      <c r="AZ83" s="271">
        <v>0.11</v>
      </c>
      <c r="BA83" s="6">
        <v>0.12</v>
      </c>
      <c r="BB83" s="6"/>
      <c r="BC83" s="30">
        <v>0.11</v>
      </c>
    </row>
    <row r="84" spans="1:55" ht="12.75" customHeight="1" x14ac:dyDescent="0.2">
      <c r="A84" s="2" t="s">
        <v>182</v>
      </c>
      <c r="C84" s="199"/>
      <c r="D84" s="199"/>
      <c r="E84" s="199"/>
      <c r="F84" s="200"/>
      <c r="G84" s="201"/>
      <c r="I84" s="6">
        <v>0.26</v>
      </c>
      <c r="J84" s="6">
        <v>0.19</v>
      </c>
      <c r="K84" s="6">
        <v>-0.01</v>
      </c>
      <c r="L84" s="200"/>
      <c r="M84" s="30">
        <v>0.09</v>
      </c>
      <c r="O84" s="6">
        <v>-0.18</v>
      </c>
      <c r="P84" s="6">
        <v>0.09</v>
      </c>
      <c r="Q84" s="6">
        <v>0.19</v>
      </c>
      <c r="R84" s="7">
        <v>0.17</v>
      </c>
      <c r="S84" s="30">
        <v>0.05</v>
      </c>
      <c r="U84" s="6">
        <v>0.1</v>
      </c>
      <c r="V84" s="6">
        <v>0.04</v>
      </c>
      <c r="W84" s="6">
        <v>0.34</v>
      </c>
      <c r="X84" s="6">
        <v>0.11</v>
      </c>
      <c r="Y84" s="209">
        <v>0.15</v>
      </c>
      <c r="AA84" s="6">
        <v>0.82</v>
      </c>
      <c r="AB84" s="6">
        <v>0.9</v>
      </c>
      <c r="AC84" s="6">
        <v>0.18</v>
      </c>
      <c r="AD84" s="6">
        <v>0.17</v>
      </c>
      <c r="AE84" s="209">
        <v>0.48</v>
      </c>
      <c r="AG84" s="6">
        <v>-0.16</v>
      </c>
      <c r="AH84" s="6">
        <v>-0.33</v>
      </c>
      <c r="AI84" s="6">
        <v>0.18</v>
      </c>
      <c r="AJ84" s="6">
        <v>0.01</v>
      </c>
      <c r="AK84" s="209">
        <v>-0.11</v>
      </c>
      <c r="AM84" s="6">
        <v>-0.16</v>
      </c>
      <c r="AN84" s="6">
        <v>7.0000000000000007E-2</v>
      </c>
      <c r="AO84" s="6">
        <v>-0.21</v>
      </c>
      <c r="AP84" s="6">
        <v>0.02</v>
      </c>
      <c r="AQ84" s="209">
        <v>-0.02</v>
      </c>
      <c r="AS84" s="6">
        <v>0.66</v>
      </c>
      <c r="AT84" s="271">
        <v>0.19</v>
      </c>
      <c r="AU84" s="6">
        <v>0.25</v>
      </c>
      <c r="AV84" s="6">
        <v>7.0000000000000007E-2</v>
      </c>
      <c r="AW84" s="272">
        <v>9.2999999999999999E-2</v>
      </c>
      <c r="AY84" s="6">
        <v>-0.06</v>
      </c>
      <c r="AZ84" s="271">
        <v>7.0000000000000007E-2</v>
      </c>
      <c r="BA84" s="6">
        <v>0.61</v>
      </c>
      <c r="BB84" s="6"/>
      <c r="BC84" s="272">
        <v>0.19</v>
      </c>
    </row>
    <row r="85" spans="1:55" s="41" customFormat="1" ht="12.75" customHeight="1" x14ac:dyDescent="0.2">
      <c r="A85" s="37" t="s">
        <v>141</v>
      </c>
      <c r="C85" s="193">
        <v>-0.08</v>
      </c>
      <c r="D85" s="193">
        <v>0.08</v>
      </c>
      <c r="E85" s="193">
        <v>0.24</v>
      </c>
      <c r="F85" s="194">
        <v>-0.01</v>
      </c>
      <c r="G85" s="195">
        <v>7.0000000000000007E-2</v>
      </c>
      <c r="H85" s="67"/>
      <c r="I85" s="193">
        <v>7.0000000000000007E-2</v>
      </c>
      <c r="J85" s="193">
        <v>0.12</v>
      </c>
      <c r="K85" s="193">
        <v>-0.01</v>
      </c>
      <c r="L85" s="194">
        <v>-0.16</v>
      </c>
      <c r="M85" s="195">
        <v>0</v>
      </c>
      <c r="N85" s="67"/>
      <c r="O85" s="193">
        <v>-0.16</v>
      </c>
      <c r="P85" s="193">
        <v>-0.17</v>
      </c>
      <c r="Q85" s="193">
        <v>-0.16</v>
      </c>
      <c r="R85" s="194">
        <v>0.16</v>
      </c>
      <c r="S85" s="195">
        <v>-0.1</v>
      </c>
      <c r="U85" s="193">
        <v>0.19</v>
      </c>
      <c r="V85" s="193">
        <v>0.15</v>
      </c>
      <c r="W85" s="193">
        <v>0.28000000000000003</v>
      </c>
      <c r="X85" s="193">
        <v>0.01</v>
      </c>
      <c r="Y85" s="210">
        <v>0.15</v>
      </c>
      <c r="AA85" s="193">
        <v>0.21</v>
      </c>
      <c r="AB85" s="193">
        <v>0.21</v>
      </c>
      <c r="AC85" s="193">
        <v>0.1</v>
      </c>
      <c r="AD85" s="193">
        <v>7.0000000000000007E-2</v>
      </c>
      <c r="AE85" s="210">
        <v>0.15</v>
      </c>
      <c r="AG85" s="193">
        <v>7.0000000000000007E-2</v>
      </c>
      <c r="AH85" s="193">
        <v>0.11</v>
      </c>
      <c r="AI85" s="193">
        <v>0.08</v>
      </c>
      <c r="AJ85" s="193">
        <v>0.35</v>
      </c>
      <c r="AK85" s="210">
        <v>0.15</v>
      </c>
      <c r="AM85" s="193">
        <v>0.34</v>
      </c>
      <c r="AN85" s="193">
        <v>0.26</v>
      </c>
      <c r="AO85" s="193">
        <v>0.44</v>
      </c>
      <c r="AP85" s="193">
        <v>0.4</v>
      </c>
      <c r="AQ85" s="210">
        <v>0.36</v>
      </c>
      <c r="AS85" s="193">
        <v>0.27</v>
      </c>
      <c r="AT85" s="193">
        <v>0.28999999999999998</v>
      </c>
      <c r="AU85" s="193">
        <v>0.25</v>
      </c>
      <c r="AV85" s="193">
        <v>0.23</v>
      </c>
      <c r="AW85" s="210">
        <v>0.26</v>
      </c>
      <c r="AY85" s="193">
        <v>0.11</v>
      </c>
      <c r="AZ85" s="193">
        <v>0.13</v>
      </c>
      <c r="BA85" s="193">
        <v>0.11</v>
      </c>
      <c r="BB85" s="193"/>
      <c r="BC85" s="210">
        <v>0.12</v>
      </c>
    </row>
    <row r="86" spans="1:55" s="180" customFormat="1" ht="12.75" customHeight="1" x14ac:dyDescent="0.2">
      <c r="A86" s="20" t="s">
        <v>140</v>
      </c>
      <c r="C86" s="196">
        <v>-0.18</v>
      </c>
      <c r="D86" s="196">
        <v>0.26</v>
      </c>
      <c r="E86" s="196">
        <v>0</v>
      </c>
      <c r="F86" s="197">
        <v>0.13</v>
      </c>
      <c r="G86" s="198">
        <v>7.0000000000000007E-2</v>
      </c>
      <c r="H86" s="181"/>
      <c r="I86" s="196">
        <v>0.18</v>
      </c>
      <c r="J86" s="196">
        <v>0.25</v>
      </c>
      <c r="K86" s="196">
        <v>0.21</v>
      </c>
      <c r="L86" s="197">
        <v>7.0000000000000007E-2</v>
      </c>
      <c r="M86" s="198">
        <v>0.16</v>
      </c>
      <c r="N86" s="181"/>
      <c r="O86" s="196">
        <v>0.17</v>
      </c>
      <c r="P86" s="196">
        <v>0.01</v>
      </c>
      <c r="Q86" s="196">
        <v>7.3999999999999996E-2</v>
      </c>
      <c r="R86" s="197">
        <v>0.15</v>
      </c>
      <c r="S86" s="198">
        <v>0.1</v>
      </c>
      <c r="U86" s="196">
        <v>-0.13</v>
      </c>
      <c r="V86" s="196">
        <v>-0.2</v>
      </c>
      <c r="W86" s="196">
        <v>0.03</v>
      </c>
      <c r="X86" s="196">
        <v>0.03</v>
      </c>
      <c r="Y86" s="211">
        <v>-0.06</v>
      </c>
      <c r="AA86" s="196">
        <v>0.26</v>
      </c>
      <c r="AB86" s="196">
        <v>0.28000000000000003</v>
      </c>
      <c r="AC86" s="196">
        <v>0.1</v>
      </c>
      <c r="AD86" s="196">
        <v>0.06</v>
      </c>
      <c r="AE86" s="211">
        <v>0.15</v>
      </c>
      <c r="AG86" s="196">
        <v>7.0000000000000007E-2</v>
      </c>
      <c r="AH86" s="227"/>
      <c r="AI86" s="227"/>
      <c r="AJ86" s="227"/>
      <c r="AK86" s="228"/>
      <c r="AM86" s="227"/>
      <c r="AN86" s="227"/>
      <c r="AO86" s="227"/>
      <c r="AP86" s="227"/>
      <c r="AQ86" s="228"/>
      <c r="AS86" s="227"/>
      <c r="AT86" s="227"/>
      <c r="AU86" s="284"/>
      <c r="AV86" s="299"/>
      <c r="AW86" s="228"/>
      <c r="AY86" s="227"/>
      <c r="AZ86" s="227"/>
      <c r="BA86" s="284"/>
      <c r="BB86" s="299"/>
      <c r="BC86" s="228"/>
    </row>
    <row r="87" spans="1:55" ht="12.75" customHeight="1" x14ac:dyDescent="0.2">
      <c r="C87" s="24"/>
      <c r="D87" s="24"/>
      <c r="E87" s="24"/>
      <c r="F87" s="94"/>
      <c r="G87" s="60"/>
      <c r="H87" s="24"/>
      <c r="I87" s="24"/>
      <c r="J87" s="24"/>
      <c r="K87" s="24"/>
      <c r="L87" s="94"/>
      <c r="M87" s="60"/>
      <c r="N87" s="24"/>
      <c r="O87" s="24"/>
      <c r="P87" s="24"/>
      <c r="Q87" s="24"/>
      <c r="R87" s="94"/>
      <c r="S87" s="60"/>
      <c r="U87" s="24"/>
      <c r="V87" s="24"/>
      <c r="W87" s="24"/>
      <c r="X87" s="94"/>
      <c r="Y87" s="60"/>
      <c r="AA87" s="24"/>
      <c r="AB87" s="24"/>
      <c r="AC87" s="24"/>
      <c r="AD87" s="94"/>
      <c r="AE87" s="60"/>
      <c r="AG87" s="24"/>
      <c r="AH87" s="24"/>
      <c r="AI87" s="24"/>
      <c r="AJ87" s="94"/>
      <c r="AK87" s="60"/>
      <c r="AM87" s="24"/>
      <c r="AN87" s="24"/>
      <c r="AO87" s="24"/>
      <c r="AP87" s="94"/>
      <c r="AQ87" s="60"/>
      <c r="AS87" s="24"/>
      <c r="AT87" s="24"/>
      <c r="AU87" s="24"/>
      <c r="AV87" s="287"/>
      <c r="AW87" s="60"/>
      <c r="AY87" s="24"/>
      <c r="AZ87" s="24"/>
      <c r="BA87" s="24"/>
      <c r="BB87" s="287"/>
      <c r="BC87" s="60"/>
    </row>
    <row r="88" spans="1:55" ht="12.75" customHeight="1" x14ac:dyDescent="0.2">
      <c r="A88" s="1" t="s">
        <v>29</v>
      </c>
      <c r="C88" s="24"/>
      <c r="D88" s="61"/>
      <c r="E88" s="61"/>
      <c r="F88" s="24"/>
      <c r="G88" s="69"/>
      <c r="H88" s="24"/>
      <c r="I88" s="24"/>
      <c r="J88" s="61"/>
      <c r="K88" s="61"/>
      <c r="L88" s="24"/>
      <c r="M88" s="69"/>
      <c r="N88" s="24"/>
      <c r="O88" s="24"/>
      <c r="P88" s="61"/>
      <c r="Q88" s="61"/>
      <c r="R88" s="24"/>
      <c r="S88" s="69"/>
      <c r="U88" s="24"/>
      <c r="V88" s="61"/>
      <c r="W88" s="61"/>
      <c r="X88" s="24"/>
      <c r="Y88" s="69"/>
      <c r="AA88" s="24"/>
      <c r="AB88" s="61"/>
      <c r="AC88" s="61"/>
      <c r="AD88" s="24"/>
      <c r="AE88" s="69"/>
      <c r="AG88" s="24"/>
      <c r="AH88" s="61"/>
      <c r="AI88" s="61"/>
      <c r="AJ88" s="24"/>
      <c r="AK88" s="69"/>
      <c r="AM88" s="24"/>
      <c r="AN88" s="61"/>
      <c r="AO88" s="61"/>
      <c r="AP88" s="24"/>
      <c r="AQ88" s="69"/>
      <c r="AS88" s="24"/>
      <c r="AT88" s="61"/>
      <c r="AU88" s="61"/>
      <c r="AW88" s="69"/>
      <c r="AY88" s="24"/>
      <c r="AZ88" s="61"/>
      <c r="BA88" s="61"/>
      <c r="BC88" s="69"/>
    </row>
    <row r="89" spans="1:55" ht="12.75" customHeight="1" x14ac:dyDescent="0.2">
      <c r="A89" s="2" t="s">
        <v>141</v>
      </c>
      <c r="B89" s="1"/>
      <c r="C89" s="152">
        <v>1006.7</v>
      </c>
      <c r="D89" s="152">
        <v>1139.4000000000001</v>
      </c>
      <c r="E89" s="152">
        <v>1120.7</v>
      </c>
      <c r="F89" s="152">
        <v>1040.5</v>
      </c>
      <c r="G89" s="60">
        <f>+F89</f>
        <v>1040.5</v>
      </c>
      <c r="H89" s="152"/>
      <c r="I89" s="152">
        <v>1140.5</v>
      </c>
      <c r="J89" s="152">
        <v>1104.3</v>
      </c>
      <c r="K89" s="152">
        <v>1158.3</v>
      </c>
      <c r="L89" s="152">
        <v>1065.3</v>
      </c>
      <c r="M89" s="60">
        <f>+L89</f>
        <v>1065.3</v>
      </c>
      <c r="N89" s="152"/>
      <c r="O89" s="152">
        <v>1113.5</v>
      </c>
      <c r="P89" s="152">
        <v>1083.5</v>
      </c>
      <c r="Q89" s="152">
        <v>1054.5</v>
      </c>
      <c r="R89" s="152">
        <v>941.6</v>
      </c>
      <c r="S89" s="60">
        <f>+R89</f>
        <v>941.6</v>
      </c>
      <c r="T89" s="152"/>
      <c r="U89" s="152">
        <v>993.7</v>
      </c>
      <c r="V89" s="152">
        <v>1075.9000000000001</v>
      </c>
      <c r="W89" s="152">
        <v>937.1</v>
      </c>
      <c r="X89" s="152">
        <v>939.8</v>
      </c>
      <c r="Y89" s="60">
        <v>939.8</v>
      </c>
      <c r="AA89" s="152">
        <v>1029.7</v>
      </c>
      <c r="AB89" s="152">
        <v>1238.4000000000001</v>
      </c>
      <c r="AC89" s="152">
        <v>1109.4000000000001</v>
      </c>
      <c r="AD89" s="152">
        <v>1052.5999999999999</v>
      </c>
      <c r="AE89" s="60">
        <f>+AD89</f>
        <v>1052.5999999999999</v>
      </c>
      <c r="AG89" s="152">
        <v>1211.7</v>
      </c>
      <c r="AH89" s="152">
        <v>1124.7</v>
      </c>
      <c r="AI89" s="152">
        <v>1162</v>
      </c>
      <c r="AJ89" s="152">
        <f>+' Financial Highlights'!DD32</f>
        <v>1089</v>
      </c>
      <c r="AK89" s="60">
        <f>+AJ89</f>
        <v>1089</v>
      </c>
      <c r="AM89" s="152">
        <v>1220.4000000000001</v>
      </c>
      <c r="AN89" s="152">
        <v>876.9</v>
      </c>
      <c r="AO89" s="152">
        <v>847</v>
      </c>
      <c r="AP89" s="152">
        <f>+' Financial Highlights'!DJ32</f>
        <v>904.4</v>
      </c>
      <c r="AQ89" s="60">
        <f>+AP89</f>
        <v>904.4</v>
      </c>
      <c r="AS89" s="234">
        <v>955</v>
      </c>
      <c r="AT89" s="234">
        <v>552</v>
      </c>
      <c r="AU89" s="234">
        <v>734</v>
      </c>
      <c r="AV89" s="10">
        <v>573</v>
      </c>
      <c r="AW89" s="29">
        <f>+AV89</f>
        <v>573</v>
      </c>
      <c r="AY89" s="234">
        <v>1033</v>
      </c>
      <c r="AZ89" s="234">
        <v>1196</v>
      </c>
      <c r="BA89" s="234">
        <v>1388</v>
      </c>
      <c r="BC89" s="29">
        <f>+BA89</f>
        <v>1388</v>
      </c>
    </row>
    <row r="90" spans="1:55" ht="12.75" customHeight="1" x14ac:dyDescent="0.2">
      <c r="A90" s="2" t="s">
        <v>140</v>
      </c>
      <c r="B90" s="1"/>
      <c r="C90" s="155">
        <v>46.3</v>
      </c>
      <c r="D90" s="155">
        <v>49.8</v>
      </c>
      <c r="E90" s="155">
        <v>62.6</v>
      </c>
      <c r="F90" s="155">
        <v>69</v>
      </c>
      <c r="G90" s="60">
        <f>+F90</f>
        <v>69</v>
      </c>
      <c r="H90" s="152"/>
      <c r="I90" s="155">
        <v>67.099999999999994</v>
      </c>
      <c r="J90" s="155">
        <v>72.400000000000006</v>
      </c>
      <c r="K90" s="155">
        <v>73.7</v>
      </c>
      <c r="L90" s="155">
        <v>78.599999999999994</v>
      </c>
      <c r="M90" s="60">
        <f>+L90</f>
        <v>78.599999999999994</v>
      </c>
      <c r="N90" s="152"/>
      <c r="O90" s="155">
        <v>93.7</v>
      </c>
      <c r="P90" s="155">
        <v>96.7</v>
      </c>
      <c r="Q90" s="155">
        <v>101.7</v>
      </c>
      <c r="R90" s="155">
        <v>104.4</v>
      </c>
      <c r="S90" s="60">
        <f>+R90</f>
        <v>104.4</v>
      </c>
      <c r="T90" s="152"/>
      <c r="U90" s="155">
        <v>108.3</v>
      </c>
      <c r="V90" s="155">
        <v>110.1</v>
      </c>
      <c r="W90" s="155">
        <v>110.4</v>
      </c>
      <c r="X90" s="155">
        <v>110.7</v>
      </c>
      <c r="Y90" s="60">
        <v>110.7</v>
      </c>
      <c r="AA90" s="155">
        <v>110</v>
      </c>
      <c r="AB90" s="155">
        <v>109.7</v>
      </c>
      <c r="AC90" s="155">
        <v>116.6</v>
      </c>
      <c r="AD90" s="155">
        <v>120.5</v>
      </c>
      <c r="AE90" s="60">
        <f>+AD90</f>
        <v>120.5</v>
      </c>
      <c r="AG90" s="155">
        <v>113.7</v>
      </c>
      <c r="AH90" s="225"/>
      <c r="AI90" s="225"/>
      <c r="AJ90" s="225"/>
      <c r="AK90" s="223"/>
      <c r="AM90" s="225"/>
      <c r="AN90" s="225"/>
      <c r="AO90" s="225"/>
      <c r="AP90" s="225"/>
      <c r="AQ90" s="223"/>
      <c r="AS90" s="225"/>
      <c r="AT90" s="280"/>
      <c r="AU90" s="225"/>
      <c r="AV90" s="296"/>
      <c r="AW90" s="246"/>
      <c r="AY90" s="225"/>
      <c r="AZ90" s="280"/>
      <c r="BA90" s="225"/>
      <c r="BB90" s="296"/>
      <c r="BC90" s="246"/>
    </row>
    <row r="91" spans="1:55" s="41" customFormat="1" ht="12.75" customHeight="1" x14ac:dyDescent="0.2">
      <c r="A91" s="37" t="s">
        <v>150</v>
      </c>
      <c r="C91" s="64">
        <f t="shared" ref="C91" si="225">+SUM(C89:C90)</f>
        <v>1053</v>
      </c>
      <c r="D91" s="64">
        <f t="shared" ref="D91" si="226">+SUM(D89:D90)</f>
        <v>1189.2</v>
      </c>
      <c r="E91" s="64">
        <f t="shared" ref="E91" si="227">+SUM(E89:E90)</f>
        <v>1183.3</v>
      </c>
      <c r="F91" s="100">
        <f t="shared" ref="F91" si="228">+SUM(F89:F90)</f>
        <v>1109.5</v>
      </c>
      <c r="G91" s="65">
        <f>+SUM(G89:G90)</f>
        <v>1109.5</v>
      </c>
      <c r="H91" s="67"/>
      <c r="I91" s="64">
        <f t="shared" ref="I91" si="229">+SUM(I89:I90)</f>
        <v>1207.5999999999999</v>
      </c>
      <c r="J91" s="64">
        <f t="shared" ref="J91" si="230">+SUM(J89:J90)</f>
        <v>1176.7</v>
      </c>
      <c r="K91" s="64">
        <f t="shared" ref="K91" si="231">+SUM(K89:K90)</f>
        <v>1232</v>
      </c>
      <c r="L91" s="100">
        <f t="shared" ref="L91" si="232">+SUM(L89:L90)</f>
        <v>1143.8999999999999</v>
      </c>
      <c r="M91" s="65">
        <f>+SUM(M89:M90)</f>
        <v>1143.8999999999999</v>
      </c>
      <c r="N91" s="67"/>
      <c r="O91" s="64">
        <f t="shared" ref="O91" si="233">+SUM(O89:O90)</f>
        <v>1207.2</v>
      </c>
      <c r="P91" s="64">
        <f t="shared" ref="P91" si="234">+SUM(P89:P90)</f>
        <v>1180.2</v>
      </c>
      <c r="Q91" s="64">
        <f t="shared" ref="Q91" si="235">+SUM(Q89:Q90)</f>
        <v>1156.2</v>
      </c>
      <c r="R91" s="100">
        <f t="shared" ref="R91" si="236">+SUM(R89:R90)</f>
        <v>1046</v>
      </c>
      <c r="S91" s="65">
        <f>+SUM(S89:S90)</f>
        <v>1046</v>
      </c>
      <c r="U91" s="64">
        <f t="shared" ref="U91:Y91" si="237">+SUM(U89:U90)</f>
        <v>1102</v>
      </c>
      <c r="V91" s="64">
        <f t="shared" si="237"/>
        <v>1186</v>
      </c>
      <c r="W91" s="64">
        <f t="shared" si="237"/>
        <v>1047.5</v>
      </c>
      <c r="X91" s="100">
        <f t="shared" si="237"/>
        <v>1050.5</v>
      </c>
      <c r="Y91" s="65">
        <f t="shared" si="237"/>
        <v>1050.5</v>
      </c>
      <c r="AA91" s="64">
        <f>+SUM(AA89:AA90)</f>
        <v>1139.7</v>
      </c>
      <c r="AB91" s="64">
        <f t="shared" ref="AB91:AD91" si="238">+SUM(AB89:AB90)</f>
        <v>1348.1000000000001</v>
      </c>
      <c r="AC91" s="64">
        <f t="shared" si="238"/>
        <v>1226</v>
      </c>
      <c r="AD91" s="100">
        <f t="shared" si="238"/>
        <v>1173.0999999999999</v>
      </c>
      <c r="AE91" s="65">
        <f>+SUM(AE89:AE90)</f>
        <v>1173.0999999999999</v>
      </c>
      <c r="AG91" s="64">
        <f t="shared" ref="AG91" si="239">+SUM(AG89:AG90)</f>
        <v>1325.4</v>
      </c>
      <c r="AH91" s="220"/>
      <c r="AI91" s="220"/>
      <c r="AJ91" s="229"/>
      <c r="AK91" s="221"/>
      <c r="AM91" s="220"/>
      <c r="AN91" s="220"/>
      <c r="AO91" s="220"/>
      <c r="AP91" s="229"/>
      <c r="AQ91" s="221"/>
      <c r="AS91" s="220"/>
      <c r="AT91" s="281"/>
      <c r="AU91" s="220"/>
      <c r="AV91" s="300"/>
      <c r="AW91" s="247"/>
      <c r="AY91" s="220"/>
      <c r="AZ91" s="281"/>
      <c r="BA91" s="220"/>
      <c r="BB91" s="300"/>
      <c r="BC91" s="247"/>
    </row>
    <row r="92" spans="1:55" ht="12.75" customHeight="1" x14ac:dyDescent="0.2">
      <c r="A92" s="1"/>
      <c r="B92" s="1"/>
      <c r="C92" s="1"/>
      <c r="D92" s="1"/>
      <c r="E92" s="1"/>
      <c r="F92" s="1"/>
      <c r="G92" s="28"/>
      <c r="H92" s="24"/>
      <c r="I92" s="1"/>
      <c r="J92" s="1"/>
      <c r="K92" s="1"/>
      <c r="L92" s="1"/>
      <c r="M92" s="28"/>
      <c r="N92" s="24"/>
      <c r="O92" s="1"/>
      <c r="P92" s="1"/>
      <c r="Q92" s="1"/>
      <c r="R92" s="1"/>
      <c r="S92" s="28"/>
      <c r="U92" s="1"/>
      <c r="V92" s="1"/>
      <c r="W92" s="1"/>
      <c r="X92" s="1"/>
      <c r="Y92" s="28"/>
      <c r="AA92" s="1">
        <v>1139.7</v>
      </c>
      <c r="AB92" s="1"/>
      <c r="AC92" s="1"/>
      <c r="AD92" s="1"/>
      <c r="AE92" s="28"/>
      <c r="AG92" s="1"/>
      <c r="AH92" s="1"/>
      <c r="AI92" s="1"/>
      <c r="AJ92" s="1"/>
      <c r="AK92" s="28"/>
      <c r="AM92" s="1"/>
      <c r="AN92" s="1"/>
      <c r="AO92" s="1"/>
      <c r="AP92" s="1"/>
      <c r="AQ92" s="28"/>
      <c r="AS92" s="1"/>
      <c r="AT92" s="205"/>
      <c r="AU92" s="1"/>
      <c r="AV92" s="295"/>
      <c r="AW92" s="29"/>
      <c r="AY92" s="1"/>
      <c r="AZ92" s="205"/>
      <c r="BA92" s="1"/>
      <c r="BB92" s="295"/>
      <c r="BC92" s="29"/>
    </row>
    <row r="93" spans="1:55" ht="12.75" customHeight="1" x14ac:dyDescent="0.2">
      <c r="A93" s="1" t="s">
        <v>190</v>
      </c>
      <c r="B93" s="1"/>
      <c r="C93" s="22"/>
      <c r="D93" s="22"/>
      <c r="E93" s="22"/>
      <c r="F93" s="22"/>
      <c r="G93" s="50"/>
      <c r="H93" s="1"/>
      <c r="I93" s="22"/>
      <c r="J93" s="22"/>
      <c r="K93" s="22"/>
      <c r="L93" s="22"/>
      <c r="M93" s="50"/>
      <c r="N93" s="1"/>
      <c r="O93" s="22"/>
      <c r="P93" s="22"/>
      <c r="Q93" s="22"/>
      <c r="R93" s="22"/>
      <c r="S93" s="50"/>
      <c r="T93" s="1"/>
      <c r="U93" s="22"/>
      <c r="V93" s="22"/>
      <c r="W93" s="22"/>
      <c r="X93" s="22"/>
      <c r="Y93" s="50"/>
      <c r="Z93" s="1"/>
      <c r="AA93" s="22"/>
      <c r="AB93" s="22"/>
      <c r="AC93" s="22"/>
      <c r="AD93" s="22"/>
      <c r="AE93" s="50"/>
      <c r="AG93" s="22"/>
      <c r="AH93" s="22"/>
      <c r="AI93" s="22"/>
      <c r="AJ93" s="22"/>
      <c r="AK93" s="50"/>
      <c r="AM93" s="22"/>
      <c r="AN93" s="22"/>
      <c r="AO93" s="22"/>
      <c r="AP93" s="22"/>
      <c r="AQ93" s="50"/>
      <c r="AS93" s="22"/>
      <c r="AT93" s="282"/>
      <c r="AU93" s="22"/>
      <c r="AV93" s="301"/>
      <c r="AW93" s="257"/>
      <c r="AY93" s="22"/>
      <c r="AZ93" s="282"/>
      <c r="BA93" s="22"/>
      <c r="BB93" s="301"/>
      <c r="BC93" s="257"/>
    </row>
    <row r="94" spans="1:55" ht="12.75" customHeight="1" x14ac:dyDescent="0.2">
      <c r="A94" s="2" t="s">
        <v>141</v>
      </c>
      <c r="B94" s="1"/>
      <c r="C94" s="184">
        <v>9.5000000000000001E-2</v>
      </c>
      <c r="D94" s="184">
        <v>9.1999999999999998E-2</v>
      </c>
      <c r="E94" s="184">
        <v>8.6999999999999994E-2</v>
      </c>
      <c r="F94" s="184">
        <v>7.4999999999999997E-2</v>
      </c>
      <c r="G94" s="50">
        <v>7.4999999999999997E-2</v>
      </c>
      <c r="H94" s="1"/>
      <c r="I94" s="184">
        <v>5.2999999999999999E-2</v>
      </c>
      <c r="J94" s="184">
        <v>4.1000000000000002E-2</v>
      </c>
      <c r="K94" s="184">
        <v>2.9000000000000001E-2</v>
      </c>
      <c r="L94" s="184">
        <v>-8.0000000000000002E-3</v>
      </c>
      <c r="M94" s="50">
        <v>-8.0000000000000002E-3</v>
      </c>
      <c r="N94" s="1"/>
      <c r="O94" s="184">
        <v>-2.9000000000000001E-2</v>
      </c>
      <c r="P94" s="184">
        <v>-5.0999999999999997E-2</v>
      </c>
      <c r="Q94" s="184">
        <v>-7.0999999999999994E-2</v>
      </c>
      <c r="R94" s="184">
        <v>-7.1999999999999995E-2</v>
      </c>
      <c r="S94" s="50">
        <v>-7.1999999999999995E-2</v>
      </c>
      <c r="T94" s="1"/>
      <c r="U94" s="184">
        <v>-6.0999999999999999E-2</v>
      </c>
      <c r="V94" s="184">
        <v>-5.3999999999999999E-2</v>
      </c>
      <c r="W94" s="184">
        <v>-4.1000000000000002E-2</v>
      </c>
      <c r="X94" s="184">
        <v>-2.9000000000000001E-2</v>
      </c>
      <c r="Y94" s="50">
        <v>-2.9000000000000001E-2</v>
      </c>
      <c r="Z94" s="1"/>
      <c r="AA94" s="184">
        <v>-8.9999999999999993E-3</v>
      </c>
      <c r="AB94" s="184">
        <v>1.4999999999999999E-2</v>
      </c>
      <c r="AC94" s="184">
        <v>3.4000000000000002E-2</v>
      </c>
      <c r="AD94" s="184">
        <v>3.4000000000000002E-2</v>
      </c>
      <c r="AE94" s="50">
        <v>3.4000000000000002E-2</v>
      </c>
      <c r="AG94" s="184">
        <v>4.1000000000000002E-2</v>
      </c>
      <c r="AH94" s="184">
        <v>4.1000000000000002E-2</v>
      </c>
      <c r="AI94" s="184">
        <v>3.7999999999999999E-2</v>
      </c>
      <c r="AJ94" s="184">
        <v>6.6000000000000003E-2</v>
      </c>
      <c r="AK94" s="50">
        <f>+AJ94</f>
        <v>6.6000000000000003E-2</v>
      </c>
      <c r="AM94" s="184">
        <v>0.08</v>
      </c>
      <c r="AN94" s="184">
        <v>0.105</v>
      </c>
      <c r="AO94" s="184">
        <v>0.154</v>
      </c>
      <c r="AP94" s="184">
        <v>0.19500000000000001</v>
      </c>
      <c r="AQ94" s="50">
        <f>+AP94</f>
        <v>0.19500000000000001</v>
      </c>
      <c r="AS94" s="184">
        <v>0.22</v>
      </c>
      <c r="AT94" s="283">
        <v>0.3</v>
      </c>
      <c r="AU94" s="283">
        <v>0.31</v>
      </c>
      <c r="AV94" s="283">
        <v>0.35</v>
      </c>
      <c r="AW94" s="260">
        <v>0.35</v>
      </c>
      <c r="AY94" s="283">
        <v>0.32</v>
      </c>
      <c r="AZ94" s="283">
        <v>0.3</v>
      </c>
      <c r="BA94" s="283">
        <v>0.27</v>
      </c>
      <c r="BB94" s="283"/>
      <c r="BC94" s="260">
        <v>0.27</v>
      </c>
    </row>
    <row r="95" spans="1:55" ht="12.75" customHeight="1" x14ac:dyDescent="0.2">
      <c r="A95" s="2" t="s">
        <v>140</v>
      </c>
      <c r="B95" s="1"/>
      <c r="C95" s="202" t="s">
        <v>133</v>
      </c>
      <c r="D95" s="202" t="s">
        <v>133</v>
      </c>
      <c r="E95" s="202" t="s">
        <v>133</v>
      </c>
      <c r="F95" s="184">
        <v>-3.1E-2</v>
      </c>
      <c r="G95" s="50">
        <v>-3.1E-2</v>
      </c>
      <c r="H95" s="1"/>
      <c r="I95" s="202" t="s">
        <v>133</v>
      </c>
      <c r="J95" s="202" t="s">
        <v>133</v>
      </c>
      <c r="K95" s="202" t="s">
        <v>133</v>
      </c>
      <c r="L95" s="184">
        <v>1.6E-2</v>
      </c>
      <c r="M95" s="50">
        <v>1.6E-2</v>
      </c>
      <c r="N95" s="1"/>
      <c r="O95" s="184">
        <v>2.1999999999999999E-2</v>
      </c>
      <c r="P95" s="184">
        <v>5.0999999999999997E-2</v>
      </c>
      <c r="Q95" s="184">
        <v>6.8000000000000005E-2</v>
      </c>
      <c r="R95" s="184">
        <v>4.9000000000000002E-2</v>
      </c>
      <c r="S95" s="50">
        <v>4.9000000000000002E-2</v>
      </c>
      <c r="T95" s="1"/>
      <c r="U95" s="184">
        <v>0.03</v>
      </c>
      <c r="V95" s="184">
        <v>-2.1999999999999999E-2</v>
      </c>
      <c r="W95" s="184">
        <v>-5.8999999999999997E-2</v>
      </c>
      <c r="X95" s="184">
        <v>-8.7999999999999995E-2</v>
      </c>
      <c r="Y95" s="50">
        <v>-8.7999999999999995E-2</v>
      </c>
      <c r="Z95" s="1"/>
      <c r="AA95" s="184">
        <v>-0.09</v>
      </c>
      <c r="AB95" s="184">
        <v>-8.6999999999999994E-2</v>
      </c>
      <c r="AC95" s="184">
        <v>-6.9000000000000006E-2</v>
      </c>
      <c r="AD95" s="184">
        <v>-6.2E-2</v>
      </c>
      <c r="AE95" s="50">
        <v>-6.2E-2</v>
      </c>
      <c r="AG95" s="184">
        <v>-6.6000000000000003E-2</v>
      </c>
      <c r="AH95" s="230"/>
      <c r="AI95" s="230"/>
      <c r="AJ95" s="230"/>
      <c r="AK95" s="230"/>
      <c r="AM95" s="230"/>
      <c r="AN95" s="230"/>
      <c r="AO95" s="230"/>
      <c r="AP95" s="230"/>
      <c r="AQ95" s="230"/>
      <c r="AS95" s="230"/>
      <c r="AT95" s="230"/>
      <c r="AU95" s="230"/>
      <c r="AV95" s="303"/>
      <c r="AW95" s="230"/>
      <c r="AY95" s="230"/>
      <c r="AZ95" s="230"/>
      <c r="BA95" s="230"/>
      <c r="BB95" s="303"/>
      <c r="BC95" s="230"/>
    </row>
    <row r="96" spans="1:55" s="35" customFormat="1" ht="12.75" customHeight="1" x14ac:dyDescent="0.2">
      <c r="A96" s="34" t="s">
        <v>150</v>
      </c>
      <c r="C96" s="188">
        <v>0.121</v>
      </c>
      <c r="D96" s="188">
        <v>0.128</v>
      </c>
      <c r="E96" s="188">
        <v>0.14000000000000001</v>
      </c>
      <c r="F96" s="188">
        <v>0.11799999999999999</v>
      </c>
      <c r="G96" s="189">
        <v>0.11799999999999999</v>
      </c>
      <c r="H96" s="34"/>
      <c r="I96" s="188">
        <v>7.8E-2</v>
      </c>
      <c r="J96" s="188">
        <v>4.8000000000000001E-2</v>
      </c>
      <c r="K96" s="188">
        <v>2.5000000000000001E-2</v>
      </c>
      <c r="L96" s="188">
        <v>-7.0000000000000001E-3</v>
      </c>
      <c r="M96" s="189">
        <v>-7.0000000000000001E-3</v>
      </c>
      <c r="N96" s="34"/>
      <c r="O96" s="188">
        <v>-2.5999999999999999E-2</v>
      </c>
      <c r="P96" s="188">
        <v>-4.3999999999999997E-2</v>
      </c>
      <c r="Q96" s="188">
        <v>-0.06</v>
      </c>
      <c r="R96" s="188">
        <v>-6.2E-2</v>
      </c>
      <c r="S96" s="189">
        <v>-6.2E-2</v>
      </c>
      <c r="T96" s="34"/>
      <c r="U96" s="188">
        <v>-5.2999999999999999E-2</v>
      </c>
      <c r="V96" s="188">
        <v>-5.0999999999999997E-2</v>
      </c>
      <c r="W96" s="188">
        <v>-4.2000000000000003E-2</v>
      </c>
      <c r="X96" s="188">
        <v>-3.5000000000000003E-2</v>
      </c>
      <c r="Y96" s="189">
        <v>-3.5000000000000003E-2</v>
      </c>
      <c r="Z96" s="34"/>
      <c r="AA96" s="188">
        <v>-1.7000000000000001E-2</v>
      </c>
      <c r="AB96" s="188">
        <v>5.0000000000000001E-3</v>
      </c>
      <c r="AC96" s="188">
        <v>2.4E-2</v>
      </c>
      <c r="AD96" s="188">
        <v>2.5000000000000001E-2</v>
      </c>
      <c r="AE96" s="189">
        <v>2.5000000000000001E-2</v>
      </c>
      <c r="AG96" s="188">
        <v>3.1E-2</v>
      </c>
      <c r="AH96" s="231"/>
      <c r="AI96" s="231"/>
      <c r="AJ96" s="231"/>
      <c r="AK96" s="231"/>
      <c r="AM96" s="231"/>
      <c r="AN96" s="231"/>
      <c r="AO96" s="231"/>
      <c r="AP96" s="231"/>
      <c r="AQ96" s="231"/>
      <c r="AS96" s="231"/>
      <c r="AT96" s="231"/>
      <c r="AU96" s="231"/>
      <c r="AV96" s="304"/>
      <c r="AW96" s="231"/>
      <c r="AY96" s="231"/>
      <c r="AZ96" s="231"/>
      <c r="BA96" s="231"/>
      <c r="BB96" s="304"/>
      <c r="BC96" s="231"/>
    </row>
    <row r="97" spans="1:55" ht="12.75" customHeight="1" x14ac:dyDescent="0.2">
      <c r="A97" s="1"/>
      <c r="B97" s="1"/>
      <c r="C97" s="1"/>
      <c r="D97" s="1"/>
      <c r="E97" s="1"/>
      <c r="F97" s="1"/>
      <c r="G97" s="28"/>
      <c r="H97" s="24"/>
      <c r="I97" s="1"/>
      <c r="J97" s="1"/>
      <c r="K97" s="1"/>
      <c r="L97" s="1"/>
      <c r="M97" s="28"/>
      <c r="N97" s="24"/>
      <c r="O97" s="1"/>
      <c r="P97" s="1"/>
      <c r="Q97" s="1"/>
      <c r="R97" s="1"/>
      <c r="S97" s="28"/>
      <c r="U97" s="1"/>
      <c r="V97" s="1"/>
      <c r="W97" s="1"/>
      <c r="X97" s="1"/>
      <c r="Y97" s="28"/>
      <c r="AA97" s="1"/>
      <c r="AB97" s="1"/>
      <c r="AC97" s="1"/>
      <c r="AD97" s="1"/>
      <c r="AE97" s="28"/>
      <c r="AG97" s="1"/>
      <c r="AH97" s="1"/>
      <c r="AI97" s="1"/>
      <c r="AJ97" s="1"/>
      <c r="AK97" s="28"/>
      <c r="AM97" s="1"/>
      <c r="AN97" s="1"/>
      <c r="AO97" s="1"/>
      <c r="AP97" s="1"/>
      <c r="AQ97" s="28"/>
      <c r="AS97" s="1"/>
      <c r="AT97" s="1"/>
      <c r="AU97" s="1"/>
      <c r="AV97" s="295"/>
      <c r="AW97" s="28"/>
      <c r="AY97" s="1"/>
      <c r="AZ97" s="1"/>
      <c r="BA97" s="1"/>
      <c r="BB97" s="295"/>
      <c r="BC97" s="28"/>
    </row>
    <row r="98" spans="1:55" s="1" customFormat="1" ht="12.75" customHeight="1" x14ac:dyDescent="0.2">
      <c r="A98" s="1" t="s">
        <v>195</v>
      </c>
      <c r="C98" s="22"/>
      <c r="D98" s="22"/>
      <c r="E98" s="22"/>
      <c r="F98" s="22"/>
      <c r="G98" s="50"/>
      <c r="I98" s="22"/>
      <c r="J98" s="22"/>
      <c r="K98" s="22"/>
      <c r="L98" s="22"/>
      <c r="M98" s="50"/>
      <c r="O98" s="22"/>
      <c r="P98" s="22"/>
      <c r="Q98" s="22"/>
      <c r="R98" s="22"/>
      <c r="S98" s="50"/>
      <c r="U98" s="22"/>
      <c r="V98" s="22"/>
      <c r="W98" s="22"/>
      <c r="X98" s="22"/>
      <c r="Y98" s="50"/>
      <c r="AA98" s="22"/>
      <c r="AB98" s="22"/>
      <c r="AC98" s="22"/>
      <c r="AD98" s="22"/>
      <c r="AE98" s="50"/>
      <c r="AG98" s="22"/>
      <c r="AH98" s="22"/>
      <c r="AI98" s="22"/>
      <c r="AJ98" s="22"/>
      <c r="AK98" s="50"/>
      <c r="AM98" s="22"/>
      <c r="AN98" s="22"/>
      <c r="AO98" s="22"/>
      <c r="AP98" s="22"/>
      <c r="AQ98" s="50"/>
      <c r="AS98" s="22"/>
      <c r="AT98" s="22"/>
      <c r="AU98" s="22"/>
      <c r="AV98" s="301"/>
      <c r="AW98" s="50"/>
      <c r="AY98" s="22"/>
      <c r="AZ98" s="22"/>
      <c r="BA98" s="22"/>
      <c r="BB98" s="301"/>
      <c r="BC98" s="50"/>
    </row>
    <row r="99" spans="1:55" s="1" customFormat="1" ht="12.75" customHeight="1" x14ac:dyDescent="0.2">
      <c r="A99" s="2" t="s">
        <v>141</v>
      </c>
      <c r="C99" s="203">
        <v>3703</v>
      </c>
      <c r="D99" s="203">
        <v>3358</v>
      </c>
      <c r="E99" s="203">
        <v>3389</v>
      </c>
      <c r="F99" s="203">
        <v>3393</v>
      </c>
      <c r="G99" s="204">
        <v>3393</v>
      </c>
      <c r="H99" s="205"/>
      <c r="I99" s="203">
        <v>3393</v>
      </c>
      <c r="J99" s="203">
        <v>3452</v>
      </c>
      <c r="K99" s="203">
        <v>3424</v>
      </c>
      <c r="L99" s="203">
        <v>3419</v>
      </c>
      <c r="M99" s="204">
        <v>3419</v>
      </c>
      <c r="N99" s="205"/>
      <c r="O99" s="203">
        <v>3342</v>
      </c>
      <c r="P99" s="203">
        <v>3275</v>
      </c>
      <c r="Q99" s="203">
        <v>3271</v>
      </c>
      <c r="R99" s="203">
        <v>3303</v>
      </c>
      <c r="S99" s="204">
        <v>3303</v>
      </c>
      <c r="T99" s="205"/>
      <c r="U99" s="203">
        <v>3351</v>
      </c>
      <c r="V99" s="203">
        <v>3354</v>
      </c>
      <c r="W99" s="203">
        <v>3429</v>
      </c>
      <c r="X99" s="203">
        <v>3469</v>
      </c>
      <c r="Y99" s="204">
        <v>3469</v>
      </c>
      <c r="AA99" s="212"/>
      <c r="AB99" s="212"/>
      <c r="AC99" s="212"/>
      <c r="AD99" s="212"/>
      <c r="AE99" s="213"/>
      <c r="AG99" s="212"/>
      <c r="AH99" s="212"/>
      <c r="AI99" s="212"/>
      <c r="AJ99" s="212"/>
      <c r="AK99" s="213"/>
      <c r="AM99" s="212"/>
      <c r="AN99" s="212"/>
      <c r="AO99" s="212"/>
      <c r="AP99" s="212"/>
      <c r="AQ99" s="213"/>
      <c r="AS99" s="212"/>
      <c r="AT99" s="212"/>
      <c r="AU99" s="212"/>
      <c r="AV99" s="305"/>
      <c r="AW99" s="213"/>
      <c r="AY99" s="212"/>
      <c r="AZ99" s="212"/>
      <c r="BA99" s="212"/>
      <c r="BB99" s="305"/>
      <c r="BC99" s="213"/>
    </row>
    <row r="100" spans="1:55" s="34" customFormat="1" ht="12.75" customHeight="1" x14ac:dyDescent="0.2">
      <c r="A100" s="35" t="s">
        <v>140</v>
      </c>
      <c r="C100" s="206">
        <v>254</v>
      </c>
      <c r="D100" s="206">
        <v>263</v>
      </c>
      <c r="E100" s="206">
        <v>310</v>
      </c>
      <c r="F100" s="206">
        <v>302</v>
      </c>
      <c r="G100" s="207">
        <v>302</v>
      </c>
      <c r="H100" s="208"/>
      <c r="I100" s="206">
        <v>296</v>
      </c>
      <c r="J100" s="206">
        <v>322</v>
      </c>
      <c r="K100" s="206">
        <v>348</v>
      </c>
      <c r="L100" s="206">
        <v>349</v>
      </c>
      <c r="M100" s="207">
        <v>349</v>
      </c>
      <c r="N100" s="208"/>
      <c r="O100" s="206">
        <v>356</v>
      </c>
      <c r="P100" s="206">
        <v>367</v>
      </c>
      <c r="Q100" s="206">
        <v>380</v>
      </c>
      <c r="R100" s="206">
        <v>403</v>
      </c>
      <c r="S100" s="207">
        <v>403</v>
      </c>
      <c r="T100" s="208"/>
      <c r="U100" s="206">
        <v>411</v>
      </c>
      <c r="V100" s="206">
        <v>407</v>
      </c>
      <c r="W100" s="206">
        <v>407</v>
      </c>
      <c r="X100" s="206">
        <v>417</v>
      </c>
      <c r="Y100" s="207">
        <v>417</v>
      </c>
      <c r="AA100" s="214"/>
      <c r="AB100" s="214"/>
      <c r="AC100" s="214"/>
      <c r="AD100" s="214"/>
      <c r="AE100" s="215"/>
      <c r="AG100" s="214"/>
      <c r="AH100" s="214"/>
      <c r="AI100" s="214"/>
      <c r="AJ100" s="214"/>
      <c r="AK100" s="215"/>
      <c r="AM100" s="214"/>
      <c r="AN100" s="214"/>
      <c r="AO100" s="214"/>
      <c r="AP100" s="214"/>
      <c r="AQ100" s="215"/>
      <c r="AS100" s="214"/>
      <c r="AT100" s="214"/>
      <c r="AU100" s="214"/>
      <c r="AV100" s="306"/>
      <c r="AW100" s="215"/>
      <c r="AY100" s="214"/>
      <c r="AZ100" s="214"/>
      <c r="BA100" s="214"/>
      <c r="BB100" s="306"/>
      <c r="BC100" s="215"/>
    </row>
    <row r="101" spans="1:55" s="1" customFormat="1" ht="12.75" customHeight="1" x14ac:dyDescent="0.2">
      <c r="G101" s="50"/>
      <c r="M101" s="50"/>
      <c r="S101" s="50"/>
      <c r="Y101" s="50"/>
      <c r="AV101" s="295"/>
      <c r="BB101" s="295"/>
    </row>
    <row r="102" spans="1:55" s="1" customFormat="1" ht="12.75" customHeight="1" x14ac:dyDescent="0.2">
      <c r="A102" s="1" t="s">
        <v>199</v>
      </c>
      <c r="C102" s="22"/>
      <c r="D102" s="22"/>
      <c r="E102" s="22"/>
      <c r="F102" s="22"/>
      <c r="G102" s="50"/>
      <c r="I102" s="22"/>
      <c r="J102" s="22"/>
      <c r="K102" s="22"/>
      <c r="L102" s="22"/>
      <c r="M102" s="50"/>
      <c r="O102" s="22"/>
      <c r="P102" s="22"/>
      <c r="Q102" s="22"/>
      <c r="R102" s="22"/>
      <c r="S102" s="50"/>
      <c r="U102" s="22"/>
      <c r="V102" s="22"/>
      <c r="W102" s="22"/>
      <c r="X102" s="22"/>
      <c r="Y102" s="50"/>
      <c r="AA102" s="22"/>
      <c r="AB102" s="22"/>
      <c r="AC102" s="22"/>
      <c r="AD102" s="22"/>
      <c r="AE102" s="50"/>
      <c r="AG102" s="22"/>
      <c r="AH102" s="22"/>
      <c r="AI102" s="22"/>
      <c r="AJ102" s="22"/>
      <c r="AK102" s="50"/>
      <c r="AM102" s="22"/>
      <c r="AN102" s="22"/>
      <c r="AO102" s="22"/>
      <c r="AP102" s="22"/>
      <c r="AQ102" s="50"/>
      <c r="AS102" s="22"/>
      <c r="AT102" s="22"/>
      <c r="AU102" s="22"/>
      <c r="AV102" s="301"/>
      <c r="AW102" s="50"/>
      <c r="AY102" s="22"/>
      <c r="AZ102" s="22"/>
      <c r="BA102" s="22"/>
      <c r="BB102" s="301"/>
      <c r="BC102" s="50"/>
    </row>
    <row r="103" spans="1:55" s="1" customFormat="1" ht="12.75" customHeight="1" x14ac:dyDescent="0.2">
      <c r="A103" s="2" t="s">
        <v>141</v>
      </c>
      <c r="C103" s="212"/>
      <c r="D103" s="212"/>
      <c r="E103" s="212"/>
      <c r="F103" s="212"/>
      <c r="G103" s="213"/>
      <c r="H103" s="216"/>
      <c r="I103" s="212"/>
      <c r="J103" s="212"/>
      <c r="K103" s="212"/>
      <c r="L103" s="212"/>
      <c r="M103" s="213"/>
      <c r="N103" s="216"/>
      <c r="O103" s="212"/>
      <c r="P103" s="212"/>
      <c r="Q103" s="212"/>
      <c r="R103" s="212"/>
      <c r="S103" s="213"/>
      <c r="T103" s="205"/>
      <c r="U103" s="203">
        <v>3340</v>
      </c>
      <c r="V103" s="203">
        <v>3357</v>
      </c>
      <c r="W103" s="203">
        <v>3397</v>
      </c>
      <c r="X103" s="203">
        <v>3467</v>
      </c>
      <c r="Y103" s="204">
        <v>3390</v>
      </c>
      <c r="AA103" s="203">
        <v>3571</v>
      </c>
      <c r="AB103" s="203">
        <v>3729</v>
      </c>
      <c r="AC103" s="203">
        <v>3876</v>
      </c>
      <c r="AD103" s="203">
        <v>3926</v>
      </c>
      <c r="AE103" s="204">
        <v>3775</v>
      </c>
      <c r="AG103" s="203">
        <v>4008</v>
      </c>
      <c r="AH103" s="203">
        <v>4011</v>
      </c>
      <c r="AI103" s="203">
        <v>4069</v>
      </c>
      <c r="AJ103" s="203">
        <v>4159</v>
      </c>
      <c r="AK103" s="204">
        <v>4062</v>
      </c>
      <c r="AM103" s="203">
        <v>4291</v>
      </c>
      <c r="AN103" s="203">
        <v>4390</v>
      </c>
      <c r="AO103" s="203">
        <v>4508</v>
      </c>
      <c r="AP103" s="203">
        <v>4703</v>
      </c>
      <c r="AQ103" s="204">
        <v>4473</v>
      </c>
      <c r="AS103" s="203">
        <v>4978</v>
      </c>
      <c r="AT103" s="203">
        <v>5108</v>
      </c>
      <c r="AU103" s="203">
        <v>5708</v>
      </c>
      <c r="AV103" s="302">
        <v>5842</v>
      </c>
      <c r="AW103" s="204">
        <f>+AVERAGE(AS103:AV103)</f>
        <v>5409</v>
      </c>
      <c r="AY103" s="203">
        <v>5904</v>
      </c>
      <c r="AZ103" s="203">
        <v>6097</v>
      </c>
      <c r="BA103" s="203">
        <v>6256</v>
      </c>
      <c r="BB103" s="302"/>
      <c r="BC103" s="204">
        <v>6085</v>
      </c>
    </row>
    <row r="104" spans="1:55" s="1" customFormat="1" ht="12.75" customHeight="1" x14ac:dyDescent="0.2">
      <c r="A104" s="35" t="s">
        <v>140</v>
      </c>
      <c r="B104" s="34"/>
      <c r="C104" s="214"/>
      <c r="D104" s="214"/>
      <c r="E104" s="214"/>
      <c r="F104" s="214"/>
      <c r="G104" s="215"/>
      <c r="H104" s="217"/>
      <c r="I104" s="214"/>
      <c r="J104" s="214"/>
      <c r="K104" s="214"/>
      <c r="L104" s="214"/>
      <c r="M104" s="215"/>
      <c r="N104" s="217"/>
      <c r="O104" s="214"/>
      <c r="P104" s="214"/>
      <c r="Q104" s="214"/>
      <c r="R104" s="214"/>
      <c r="S104" s="215"/>
      <c r="T104" s="208"/>
      <c r="U104" s="206">
        <v>409</v>
      </c>
      <c r="V104" s="206">
        <v>407</v>
      </c>
      <c r="W104" s="206">
        <v>405</v>
      </c>
      <c r="X104" s="206">
        <v>418</v>
      </c>
      <c r="Y104" s="207">
        <v>410</v>
      </c>
      <c r="Z104" s="34"/>
      <c r="AA104" s="206">
        <v>401</v>
      </c>
      <c r="AB104" s="206">
        <v>391</v>
      </c>
      <c r="AC104" s="206">
        <v>392</v>
      </c>
      <c r="AD104" s="206">
        <v>419</v>
      </c>
      <c r="AE104" s="207">
        <v>401</v>
      </c>
      <c r="AG104" s="206">
        <v>412</v>
      </c>
      <c r="AH104" s="232"/>
      <c r="AI104" s="232"/>
      <c r="AJ104" s="232"/>
      <c r="AK104" s="232"/>
      <c r="AM104" s="232"/>
      <c r="AN104" s="232"/>
      <c r="AO104" s="232"/>
      <c r="AP104" s="232"/>
      <c r="AQ104" s="232"/>
      <c r="AS104" s="232"/>
      <c r="AT104" s="232"/>
      <c r="AU104" s="232"/>
      <c r="AV104" s="307"/>
      <c r="AW104" s="232"/>
      <c r="AY104" s="232"/>
      <c r="AZ104" s="232"/>
      <c r="BA104" s="232"/>
      <c r="BB104" s="307"/>
      <c r="BC104" s="232"/>
    </row>
    <row r="105" spans="1:55" s="1" customFormat="1" ht="12.75" customHeight="1" x14ac:dyDescent="0.2">
      <c r="AV105" s="295"/>
      <c r="BB105" s="295"/>
    </row>
    <row r="106" spans="1:55" ht="12.75" customHeight="1" x14ac:dyDescent="0.2">
      <c r="A106" s="185" t="s">
        <v>192</v>
      </c>
      <c r="C106" s="109"/>
      <c r="I106" s="109"/>
      <c r="O106" s="109"/>
      <c r="U106" s="109"/>
      <c r="AA106" s="109"/>
    </row>
    <row r="107" spans="1:55" ht="12.75" customHeight="1" x14ac:dyDescent="0.2">
      <c r="A107" s="110" t="s">
        <v>191</v>
      </c>
      <c r="C107" s="114"/>
      <c r="D107" s="4"/>
      <c r="I107" s="114"/>
      <c r="J107" s="4"/>
      <c r="L107" s="24"/>
      <c r="O107" s="114"/>
      <c r="P107" s="4"/>
      <c r="R107" s="24"/>
      <c r="U107" s="114"/>
      <c r="V107" s="4"/>
      <c r="X107" s="24"/>
      <c r="AA107" s="114"/>
      <c r="AB107" s="4"/>
      <c r="AD107" s="24"/>
    </row>
    <row r="108" spans="1:55" ht="12.75" customHeight="1" x14ac:dyDescent="0.2">
      <c r="C108" s="4"/>
      <c r="G108" s="61"/>
      <c r="I108" s="4"/>
      <c r="L108" s="24"/>
      <c r="M108" s="61"/>
      <c r="O108" s="4"/>
      <c r="R108" s="24"/>
      <c r="S108" s="61"/>
      <c r="U108" s="4"/>
      <c r="X108" s="24"/>
      <c r="Y108" s="61"/>
      <c r="AA108" s="4"/>
      <c r="AD108" s="24"/>
      <c r="AE108" s="61"/>
    </row>
  </sheetData>
  <mergeCells count="16">
    <mergeCell ref="AG2:AK2"/>
    <mergeCell ref="AG1:AK1"/>
    <mergeCell ref="C1:G1"/>
    <mergeCell ref="I1:M1"/>
    <mergeCell ref="O1:S1"/>
    <mergeCell ref="AA2:AE2"/>
    <mergeCell ref="I2:M2"/>
    <mergeCell ref="O2:S2"/>
    <mergeCell ref="U2:Y2"/>
    <mergeCell ref="C2:G2"/>
    <mergeCell ref="AY1:BC1"/>
    <mergeCell ref="AY2:BC2"/>
    <mergeCell ref="AS1:AW1"/>
    <mergeCell ref="AS2:AW2"/>
    <mergeCell ref="AM1:AQ1"/>
    <mergeCell ref="AM2:AQ2"/>
  </mergeCells>
  <pageMargins left="0.23622047244094491" right="0.23622047244094491" top="0.43307086614173229" bottom="0.27559055118110237" header="0.31496062992125984" footer="0.19685039370078741"/>
  <pageSetup paperSize="9" scale="6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HM86"/>
  <sheetViews>
    <sheetView showGridLines="0" zoomScale="80" zoomScaleNormal="80" workbookViewId="0">
      <pane xSplit="2" ySplit="3" topLeftCell="BX13" activePane="bottomRight" state="frozen"/>
      <selection activeCell="CI1" sqref="CI1:CM1"/>
      <selection pane="topRight" activeCell="CI1" sqref="CI1:CM1"/>
      <selection pane="bottomLeft" activeCell="CI1" sqref="CI1:CM1"/>
      <selection pane="bottomRight" activeCell="CL71" sqref="CL71"/>
    </sheetView>
  </sheetViews>
  <sheetFormatPr defaultColWidth="9.140625" defaultRowHeight="12.75" x14ac:dyDescent="0.2"/>
  <cols>
    <col min="1" max="1" width="32.7109375" style="2" customWidth="1"/>
    <col min="2" max="2" width="4.7109375" style="2" customWidth="1"/>
    <col min="3" max="6" width="8.7109375" style="2" customWidth="1"/>
    <col min="7" max="7" width="8.7109375" style="1" customWidth="1"/>
    <col min="8" max="8" width="4.7109375" style="2" customWidth="1"/>
    <col min="9" max="12" width="8.7109375" style="2" customWidth="1"/>
    <col min="13" max="13" width="8.7109375" style="1" customWidth="1"/>
    <col min="14" max="14" width="4.7109375" style="2" customWidth="1"/>
    <col min="15" max="18" width="8.7109375" style="2" customWidth="1"/>
    <col min="19" max="19" width="8.7109375" style="1" customWidth="1"/>
    <col min="20" max="20" width="4.7109375" style="2" customWidth="1"/>
    <col min="21" max="25" width="8.7109375" style="2" customWidth="1"/>
    <col min="26" max="26" width="4.7109375" style="2" customWidth="1"/>
    <col min="27" max="31" width="8.7109375" style="2" customWidth="1"/>
    <col min="32" max="32" width="4.7109375" style="2" customWidth="1"/>
    <col min="33" max="37" width="8.7109375" style="2" customWidth="1"/>
    <col min="38" max="38" width="4.7109375" style="2" customWidth="1"/>
    <col min="39" max="43" width="8.7109375" style="2" customWidth="1"/>
    <col min="44" max="44" width="4.7109375" style="2" customWidth="1"/>
    <col min="45" max="49" width="8.7109375" style="2" customWidth="1"/>
    <col min="50" max="50" width="4.7109375" style="2" customWidth="1"/>
    <col min="51" max="55" width="8.7109375" style="2" customWidth="1"/>
    <col min="56" max="56" width="4.7109375" style="2" customWidth="1"/>
    <col min="57" max="61" width="8.7109375" style="2" customWidth="1"/>
    <col min="62" max="62" width="4.7109375" style="2" customWidth="1"/>
    <col min="63" max="67" width="8.7109375" style="2" customWidth="1"/>
    <col min="68" max="68" width="4.7109375" style="2" customWidth="1"/>
    <col min="69" max="73" width="8.7109375" style="2" customWidth="1"/>
    <col min="74" max="74" width="4.5703125" style="2" customWidth="1"/>
    <col min="75" max="79" width="8.7109375" style="2" customWidth="1"/>
    <col min="80" max="80" width="4.5703125" style="2" customWidth="1"/>
    <col min="81" max="85" width="8.7109375" style="2" customWidth="1"/>
    <col min="86" max="86" width="4.5703125" style="2" customWidth="1"/>
    <col min="87" max="91" width="8.7109375" style="2" customWidth="1"/>
    <col min="92" max="16384" width="9.140625" style="2"/>
  </cols>
  <sheetData>
    <row r="1" spans="1:221" x14ac:dyDescent="0.2">
      <c r="C1" s="314"/>
      <c r="D1" s="314"/>
      <c r="E1" s="314"/>
      <c r="F1" s="314"/>
      <c r="G1" s="314"/>
      <c r="I1" s="314"/>
      <c r="J1" s="314"/>
      <c r="K1" s="314"/>
      <c r="L1" s="314"/>
      <c r="M1" s="314"/>
      <c r="O1" s="314"/>
      <c r="P1" s="314"/>
      <c r="Q1" s="314"/>
      <c r="R1" s="314"/>
      <c r="S1" s="314"/>
      <c r="U1" s="314"/>
      <c r="V1" s="314"/>
      <c r="W1" s="314"/>
      <c r="X1" s="314"/>
      <c r="Y1" s="314"/>
      <c r="AA1" s="314"/>
      <c r="AB1" s="314"/>
      <c r="AC1" s="314"/>
      <c r="AD1" s="314"/>
      <c r="AE1" s="314"/>
      <c r="AG1" s="314"/>
      <c r="AH1" s="314"/>
      <c r="AI1" s="314"/>
      <c r="AJ1" s="314"/>
      <c r="AK1" s="314"/>
      <c r="AM1" s="314"/>
      <c r="AN1" s="314"/>
      <c r="AO1" s="314"/>
      <c r="AP1" s="314"/>
      <c r="AQ1" s="314"/>
      <c r="AS1" s="314"/>
      <c r="AT1" s="314"/>
      <c r="AU1" s="314"/>
      <c r="AV1" s="314"/>
      <c r="AW1" s="314"/>
      <c r="AY1" s="314"/>
      <c r="AZ1" s="314"/>
      <c r="BA1" s="314"/>
      <c r="BB1" s="314"/>
      <c r="BC1" s="314"/>
      <c r="BE1" s="314"/>
      <c r="BF1" s="314"/>
      <c r="BG1" s="314"/>
      <c r="BH1" s="314"/>
      <c r="BI1" s="314"/>
      <c r="BK1" s="314"/>
      <c r="BL1" s="314"/>
      <c r="BM1" s="314"/>
      <c r="BN1" s="314"/>
      <c r="BO1" s="314"/>
      <c r="BQ1" s="314"/>
      <c r="BR1" s="314"/>
      <c r="BS1" s="314"/>
      <c r="BT1" s="314"/>
      <c r="BU1" s="314"/>
      <c r="BW1" s="312" t="s">
        <v>162</v>
      </c>
      <c r="BX1" s="312"/>
      <c r="BY1" s="312"/>
      <c r="BZ1" s="312"/>
      <c r="CA1" s="312"/>
      <c r="CC1" s="312"/>
      <c r="CD1" s="312"/>
      <c r="CE1" s="312"/>
      <c r="CF1" s="312"/>
      <c r="CG1" s="312"/>
      <c r="CI1" s="312"/>
      <c r="CJ1" s="312"/>
      <c r="CK1" s="312"/>
      <c r="CL1" s="312"/>
      <c r="CM1" s="312"/>
    </row>
    <row r="2" spans="1:221" x14ac:dyDescent="0.2">
      <c r="A2" s="1" t="s">
        <v>150</v>
      </c>
      <c r="C2" s="313">
        <v>2005</v>
      </c>
      <c r="D2" s="313"/>
      <c r="E2" s="313"/>
      <c r="F2" s="313"/>
      <c r="G2" s="313"/>
      <c r="I2" s="313">
        <v>2006</v>
      </c>
      <c r="J2" s="313"/>
      <c r="K2" s="313"/>
      <c r="L2" s="313"/>
      <c r="M2" s="313"/>
      <c r="O2" s="313">
        <v>2007</v>
      </c>
      <c r="P2" s="313"/>
      <c r="Q2" s="313"/>
      <c r="R2" s="313"/>
      <c r="S2" s="313"/>
      <c r="U2" s="313">
        <v>2008</v>
      </c>
      <c r="V2" s="313"/>
      <c r="W2" s="313"/>
      <c r="X2" s="313"/>
      <c r="Y2" s="313"/>
      <c r="AA2" s="313">
        <v>2009</v>
      </c>
      <c r="AB2" s="313"/>
      <c r="AC2" s="313"/>
      <c r="AD2" s="313"/>
      <c r="AE2" s="313"/>
      <c r="AG2" s="313">
        <v>2010</v>
      </c>
      <c r="AH2" s="313"/>
      <c r="AI2" s="313"/>
      <c r="AJ2" s="313"/>
      <c r="AK2" s="313"/>
      <c r="AM2" s="313">
        <v>2011</v>
      </c>
      <c r="AN2" s="313"/>
      <c r="AO2" s="313"/>
      <c r="AP2" s="313"/>
      <c r="AQ2" s="313"/>
      <c r="AS2" s="313">
        <v>2012</v>
      </c>
      <c r="AT2" s="313"/>
      <c r="AU2" s="313"/>
      <c r="AV2" s="313"/>
      <c r="AW2" s="313"/>
      <c r="AY2" s="313">
        <v>2013</v>
      </c>
      <c r="AZ2" s="313"/>
      <c r="BA2" s="313"/>
      <c r="BB2" s="313"/>
      <c r="BC2" s="313"/>
      <c r="BE2" s="313">
        <v>2014</v>
      </c>
      <c r="BF2" s="313"/>
      <c r="BG2" s="313"/>
      <c r="BH2" s="313"/>
      <c r="BI2" s="313"/>
      <c r="BK2" s="313">
        <v>2015</v>
      </c>
      <c r="BL2" s="313"/>
      <c r="BM2" s="313"/>
      <c r="BN2" s="313"/>
      <c r="BO2" s="313"/>
      <c r="BQ2" s="313">
        <v>2016</v>
      </c>
      <c r="BR2" s="313"/>
      <c r="BS2" s="313"/>
      <c r="BT2" s="313"/>
      <c r="BU2" s="313"/>
      <c r="BW2" s="313">
        <v>2017</v>
      </c>
      <c r="BX2" s="313"/>
      <c r="BY2" s="313"/>
      <c r="BZ2" s="313"/>
      <c r="CA2" s="313"/>
      <c r="CC2" s="313">
        <v>2018</v>
      </c>
      <c r="CD2" s="313"/>
      <c r="CE2" s="313"/>
      <c r="CF2" s="313"/>
      <c r="CG2" s="313"/>
      <c r="CI2" s="313">
        <v>2019</v>
      </c>
      <c r="CJ2" s="313"/>
      <c r="CK2" s="313"/>
      <c r="CL2" s="313"/>
      <c r="CM2" s="313"/>
    </row>
    <row r="3" spans="1:221" s="126" customFormat="1" x14ac:dyDescent="0.2">
      <c r="A3" s="125" t="s">
        <v>106</v>
      </c>
      <c r="B3" s="127"/>
      <c r="C3" s="127" t="s">
        <v>9</v>
      </c>
      <c r="D3" s="127" t="s">
        <v>10</v>
      </c>
      <c r="E3" s="127" t="s">
        <v>11</v>
      </c>
      <c r="F3" s="127" t="s">
        <v>12</v>
      </c>
      <c r="G3" s="127" t="s">
        <v>13</v>
      </c>
      <c r="I3" s="127" t="s">
        <v>9</v>
      </c>
      <c r="J3" s="127" t="s">
        <v>10</v>
      </c>
      <c r="K3" s="127" t="s">
        <v>11</v>
      </c>
      <c r="L3" s="127" t="s">
        <v>12</v>
      </c>
      <c r="M3" s="127" t="s">
        <v>13</v>
      </c>
      <c r="O3" s="127" t="s">
        <v>9</v>
      </c>
      <c r="P3" s="127" t="s">
        <v>10</v>
      </c>
      <c r="Q3" s="127" t="s">
        <v>11</v>
      </c>
      <c r="R3" s="127" t="s">
        <v>12</v>
      </c>
      <c r="S3" s="127" t="s">
        <v>13</v>
      </c>
      <c r="U3" s="127" t="s">
        <v>9</v>
      </c>
      <c r="V3" s="127" t="s">
        <v>10</v>
      </c>
      <c r="W3" s="127" t="s">
        <v>11</v>
      </c>
      <c r="X3" s="127" t="s">
        <v>12</v>
      </c>
      <c r="Y3" s="127" t="s">
        <v>13</v>
      </c>
      <c r="AA3" s="127" t="s">
        <v>9</v>
      </c>
      <c r="AB3" s="127" t="s">
        <v>10</v>
      </c>
      <c r="AC3" s="127" t="s">
        <v>11</v>
      </c>
      <c r="AD3" s="127" t="s">
        <v>12</v>
      </c>
      <c r="AE3" s="127" t="s">
        <v>13</v>
      </c>
      <c r="AG3" s="127" t="s">
        <v>9</v>
      </c>
      <c r="AH3" s="127" t="s">
        <v>10</v>
      </c>
      <c r="AI3" s="127" t="s">
        <v>11</v>
      </c>
      <c r="AJ3" s="127" t="s">
        <v>12</v>
      </c>
      <c r="AK3" s="127" t="s">
        <v>13</v>
      </c>
      <c r="AM3" s="127" t="s">
        <v>9</v>
      </c>
      <c r="AN3" s="127" t="s">
        <v>10</v>
      </c>
      <c r="AO3" s="127" t="s">
        <v>11</v>
      </c>
      <c r="AP3" s="127" t="s">
        <v>12</v>
      </c>
      <c r="AQ3" s="127" t="s">
        <v>13</v>
      </c>
      <c r="AS3" s="127" t="s">
        <v>9</v>
      </c>
      <c r="AT3" s="127" t="s">
        <v>10</v>
      </c>
      <c r="AU3" s="127" t="s">
        <v>11</v>
      </c>
      <c r="AV3" s="127" t="s">
        <v>12</v>
      </c>
      <c r="AW3" s="127" t="s">
        <v>13</v>
      </c>
      <c r="AY3" s="127" t="s">
        <v>9</v>
      </c>
      <c r="AZ3" s="127" t="s">
        <v>10</v>
      </c>
      <c r="BA3" s="127" t="s">
        <v>11</v>
      </c>
      <c r="BB3" s="127" t="s">
        <v>12</v>
      </c>
      <c r="BC3" s="127" t="s">
        <v>13</v>
      </c>
      <c r="BE3" s="127" t="s">
        <v>9</v>
      </c>
      <c r="BF3" s="127" t="s">
        <v>10</v>
      </c>
      <c r="BG3" s="127" t="s">
        <v>11</v>
      </c>
      <c r="BH3" s="127" t="s">
        <v>12</v>
      </c>
      <c r="BI3" s="127" t="s">
        <v>13</v>
      </c>
      <c r="BK3" s="128" t="s">
        <v>9</v>
      </c>
      <c r="BL3" s="128" t="s">
        <v>10</v>
      </c>
      <c r="BM3" s="128" t="s">
        <v>11</v>
      </c>
      <c r="BN3" s="128" t="s">
        <v>12</v>
      </c>
      <c r="BO3" s="128" t="s">
        <v>13</v>
      </c>
      <c r="BP3" s="129"/>
      <c r="BQ3" s="128" t="s">
        <v>9</v>
      </c>
      <c r="BR3" s="128" t="s">
        <v>10</v>
      </c>
      <c r="BS3" s="128" t="s">
        <v>11</v>
      </c>
      <c r="BT3" s="128" t="s">
        <v>12</v>
      </c>
      <c r="BU3" s="128" t="s">
        <v>13</v>
      </c>
      <c r="BV3" s="129"/>
      <c r="BW3" s="128" t="s">
        <v>9</v>
      </c>
      <c r="BX3" s="128" t="s">
        <v>10</v>
      </c>
      <c r="BY3" s="128" t="s">
        <v>11</v>
      </c>
      <c r="BZ3" s="128" t="s">
        <v>12</v>
      </c>
      <c r="CA3" s="128" t="s">
        <v>13</v>
      </c>
      <c r="CC3" s="128" t="s">
        <v>9</v>
      </c>
      <c r="CD3" s="128" t="s">
        <v>10</v>
      </c>
      <c r="CE3" s="128" t="s">
        <v>11</v>
      </c>
      <c r="CF3" s="128" t="s">
        <v>12</v>
      </c>
      <c r="CG3" s="128" t="s">
        <v>13</v>
      </c>
      <c r="CI3" s="128" t="s">
        <v>9</v>
      </c>
      <c r="CJ3" s="128" t="s">
        <v>10</v>
      </c>
      <c r="CK3" s="128" t="s">
        <v>11</v>
      </c>
      <c r="CL3" s="128" t="s">
        <v>12</v>
      </c>
      <c r="CM3" s="128" t="s">
        <v>13</v>
      </c>
    </row>
    <row r="4" spans="1:221" x14ac:dyDescent="0.2">
      <c r="G4" s="28"/>
      <c r="M4" s="28"/>
      <c r="S4" s="28"/>
      <c r="Y4" s="28"/>
      <c r="AE4" s="28"/>
      <c r="AK4" s="28"/>
      <c r="AQ4" s="28"/>
      <c r="AW4" s="28"/>
      <c r="BC4" s="28"/>
      <c r="BI4" s="28"/>
      <c r="BO4" s="28"/>
      <c r="BU4" s="28"/>
      <c r="CA4" s="28"/>
      <c r="CG4" s="28"/>
      <c r="CM4" s="28"/>
    </row>
    <row r="5" spans="1:221" x14ac:dyDescent="0.2">
      <c r="A5" s="1" t="s">
        <v>0</v>
      </c>
      <c r="G5" s="28"/>
      <c r="M5" s="28"/>
      <c r="S5" s="28"/>
      <c r="Y5" s="28"/>
      <c r="AE5" s="28"/>
      <c r="AK5" s="28"/>
      <c r="AQ5" s="28"/>
      <c r="AW5" s="28"/>
      <c r="BC5" s="28"/>
      <c r="BI5" s="28"/>
      <c r="BO5" s="28"/>
      <c r="BU5" s="28"/>
      <c r="CA5" s="28"/>
      <c r="CG5" s="28"/>
      <c r="CM5" s="28"/>
    </row>
    <row r="6" spans="1:221" x14ac:dyDescent="0.2">
      <c r="A6" s="2" t="s">
        <v>139</v>
      </c>
      <c r="C6" s="24">
        <v>86.442953020134226</v>
      </c>
      <c r="D6" s="24">
        <v>116.77852348993288</v>
      </c>
      <c r="E6" s="24">
        <v>128.05369127516778</v>
      </c>
      <c r="F6" s="24">
        <v>142.41610738255034</v>
      </c>
      <c r="G6" s="60">
        <f>SUM(C6:F6)</f>
        <v>473.69127516778519</v>
      </c>
      <c r="H6" s="24"/>
      <c r="I6" s="24">
        <v>138.65771812080536</v>
      </c>
      <c r="J6" s="24">
        <v>184.29530201342283</v>
      </c>
      <c r="K6" s="24">
        <v>186.57718120805367</v>
      </c>
      <c r="L6" s="24">
        <v>197.58389261744966</v>
      </c>
      <c r="M6" s="60">
        <f>SUM(I6:L6)</f>
        <v>707.11409395973146</v>
      </c>
      <c r="N6" s="24"/>
      <c r="O6" s="24">
        <v>224.69798657718121</v>
      </c>
      <c r="P6" s="24">
        <v>274.8993288590604</v>
      </c>
      <c r="Q6" s="24">
        <v>265.36912751677852</v>
      </c>
      <c r="R6" s="24">
        <v>258.38926174496646</v>
      </c>
      <c r="S6" s="60">
        <f>SUM(O6:R6)</f>
        <v>1023.3557046979865</v>
      </c>
      <c r="T6" s="24"/>
      <c r="U6" s="24">
        <v>249.12751677852347</v>
      </c>
      <c r="V6" s="24">
        <v>281.47651006711408</v>
      </c>
      <c r="W6" s="24">
        <v>275.30201342281879</v>
      </c>
      <c r="X6" s="24">
        <f>(7766-6004)/7.45</f>
        <v>236.51006711409394</v>
      </c>
      <c r="Y6" s="60">
        <f>SUM(U6:X6)</f>
        <v>1042.4161073825503</v>
      </c>
      <c r="Z6" s="24"/>
      <c r="AA6" s="24">
        <v>170.46979865771812</v>
      </c>
      <c r="AB6" s="24">
        <v>239.06040268456374</v>
      </c>
      <c r="AC6" s="24">
        <v>228.59060402684563</v>
      </c>
      <c r="AD6" s="94">
        <v>218.65771812080536</v>
      </c>
      <c r="AE6" s="60">
        <f>SUM(AA6:AD6)</f>
        <v>856.77852348993292</v>
      </c>
      <c r="AF6" s="24"/>
      <c r="AG6" s="24">
        <v>215.30201342281879</v>
      </c>
      <c r="AH6" s="24">
        <v>275.9731543624161</v>
      </c>
      <c r="AI6" s="24">
        <v>309.79865771812081</v>
      </c>
      <c r="AJ6" s="94">
        <v>342.55033557046977</v>
      </c>
      <c r="AK6" s="60">
        <f>SUM(AG6:AJ6)</f>
        <v>1143.6241610738255</v>
      </c>
      <c r="AL6" s="24"/>
      <c r="AM6" s="24">
        <v>292.48322147651004</v>
      </c>
      <c r="AN6" s="24">
        <v>310.8724832214765</v>
      </c>
      <c r="AO6" s="24">
        <v>316.24161073825502</v>
      </c>
      <c r="AP6" s="94">
        <v>300.26845637583892</v>
      </c>
      <c r="AQ6" s="60">
        <f>SUM(AM6:AP6)</f>
        <v>1219.8657718120805</v>
      </c>
      <c r="AR6" s="24"/>
      <c r="AS6" s="24">
        <v>246.57718120805367</v>
      </c>
      <c r="AT6" s="24">
        <v>289.79865771812081</v>
      </c>
      <c r="AU6" s="24">
        <v>301.61073825503354</v>
      </c>
      <c r="AV6" s="94">
        <v>306.44295302013421</v>
      </c>
      <c r="AW6" s="60">
        <f>SUM(AS6:AV6)</f>
        <v>1144.4295302013422</v>
      </c>
      <c r="AX6" s="24"/>
      <c r="AY6" s="24">
        <v>241.47651006711408</v>
      </c>
      <c r="AZ6" s="24">
        <v>300.26845637583892</v>
      </c>
      <c r="BA6" s="24">
        <v>329.66442953020135</v>
      </c>
      <c r="BB6" s="94">
        <v>334.36241610738256</v>
      </c>
      <c r="BC6" s="60">
        <f>SUM(AY6:BB6)</f>
        <v>1205.7718120805368</v>
      </c>
      <c r="BD6" s="24"/>
      <c r="BE6" s="24">
        <v>277.04697986577179</v>
      </c>
      <c r="BF6" s="24">
        <v>294.8993288590604</v>
      </c>
      <c r="BG6" s="24">
        <v>311.67785234899327</v>
      </c>
      <c r="BH6" s="94">
        <v>289.26174496644296</v>
      </c>
      <c r="BI6" s="60">
        <f>SUM(BE6:BH6)</f>
        <v>1172.8859060402683</v>
      </c>
      <c r="BJ6" s="24"/>
      <c r="BK6" s="24">
        <v>309.1275167785235</v>
      </c>
      <c r="BL6" s="24">
        <v>338.65771812080538</v>
      </c>
      <c r="BM6" s="24">
        <v>282.14765100671138</v>
      </c>
      <c r="BN6" s="94">
        <v>282.00000000000011</v>
      </c>
      <c r="BO6" s="60">
        <f>SUM(BK6:BN6)</f>
        <v>1211.9328859060404</v>
      </c>
      <c r="BP6" s="24"/>
      <c r="BQ6" s="24">
        <v>223</v>
      </c>
      <c r="BR6" s="24">
        <v>267.8</v>
      </c>
      <c r="BS6" s="24">
        <v>257.89999999999998</v>
      </c>
      <c r="BT6" s="94">
        <v>255</v>
      </c>
      <c r="BU6" s="60">
        <f>SUM(BQ6:BT6)</f>
        <v>1003.7</v>
      </c>
      <c r="BV6" s="24"/>
      <c r="BW6" s="24">
        <v>273.8</v>
      </c>
      <c r="BX6" s="24">
        <v>390.3</v>
      </c>
      <c r="BY6" s="24">
        <v>396.6</v>
      </c>
      <c r="BZ6" s="94">
        <v>368.2</v>
      </c>
      <c r="CA6" s="60">
        <f>SUM(BW6:BZ6)</f>
        <v>1428.9</v>
      </c>
      <c r="CB6" s="24"/>
      <c r="CC6" s="24">
        <v>351.1</v>
      </c>
      <c r="CD6" s="24">
        <v>407.2</v>
      </c>
      <c r="CE6" s="24">
        <v>367</v>
      </c>
      <c r="CF6" s="94">
        <f>1434.6-1125.3</f>
        <v>309.29999999999995</v>
      </c>
      <c r="CG6" s="60">
        <f>SUM(CC6:CF6)</f>
        <v>1434.6</v>
      </c>
      <c r="CH6" s="24"/>
      <c r="CI6" s="24">
        <v>279.8</v>
      </c>
      <c r="CJ6" s="24">
        <v>337.8</v>
      </c>
      <c r="CK6" s="24">
        <v>308.60000000000002</v>
      </c>
      <c r="CL6" s="94">
        <v>342</v>
      </c>
      <c r="CM6" s="60">
        <f>SUM(CI6:CL6)</f>
        <v>1268.2</v>
      </c>
    </row>
    <row r="7" spans="1:221" x14ac:dyDescent="0.2">
      <c r="A7" s="2" t="s">
        <v>160</v>
      </c>
      <c r="C7" s="24">
        <v>160.40268456375838</v>
      </c>
      <c r="D7" s="24">
        <v>187.11409395973155</v>
      </c>
      <c r="E7" s="24">
        <v>167.38255033557047</v>
      </c>
      <c r="F7" s="24">
        <v>171.40939597315435</v>
      </c>
      <c r="G7" s="60">
        <f t="shared" ref="G7:G12" si="0">SUM(C7:F7)</f>
        <v>686.30872483221481</v>
      </c>
      <c r="H7" s="24"/>
      <c r="I7" s="24">
        <v>181.61073825503354</v>
      </c>
      <c r="J7" s="24">
        <v>193.02013422818791</v>
      </c>
      <c r="K7" s="24">
        <v>173.4228187919463</v>
      </c>
      <c r="L7" s="24">
        <v>182.01342281879195</v>
      </c>
      <c r="M7" s="60">
        <f t="shared" ref="M7:M12" si="1">SUM(I7:L7)</f>
        <v>730.06711409395962</v>
      </c>
      <c r="N7" s="24"/>
      <c r="O7" s="24">
        <v>192.21476510067114</v>
      </c>
      <c r="P7" s="24">
        <v>205.36912751677852</v>
      </c>
      <c r="Q7" s="24">
        <v>180.80536912751677</v>
      </c>
      <c r="R7" s="24">
        <v>197.98657718120805</v>
      </c>
      <c r="S7" s="60">
        <f t="shared" ref="S7:S12" si="2">SUM(O7:R7)</f>
        <v>776.37583892617454</v>
      </c>
      <c r="T7" s="24"/>
      <c r="U7" s="24">
        <v>199.06040268456374</v>
      </c>
      <c r="V7" s="24">
        <v>219.73154362416108</v>
      </c>
      <c r="W7" s="24">
        <v>191.40939597315435</v>
      </c>
      <c r="X7" s="24">
        <f>(5882-4546)/7.45</f>
        <v>179.32885906040269</v>
      </c>
      <c r="Y7" s="60">
        <f t="shared" ref="Y7:Y12" si="3">SUM(U7:X7)</f>
        <v>789.53020134228188</v>
      </c>
      <c r="Z7" s="24"/>
      <c r="AA7" s="24">
        <v>176.91275167785236</v>
      </c>
      <c r="AB7" s="24">
        <v>177.71812080536913</v>
      </c>
      <c r="AC7" s="24">
        <v>166.71140939597316</v>
      </c>
      <c r="AD7" s="94">
        <v>168.3221476510067</v>
      </c>
      <c r="AE7" s="60">
        <f t="shared" ref="AE7:AE12" si="4">SUM(AA7:AD7)</f>
        <v>689.66442953020135</v>
      </c>
      <c r="AF7" s="24"/>
      <c r="AG7" s="24">
        <v>190.33557046979865</v>
      </c>
      <c r="AH7" s="24">
        <v>205.63758389261744</v>
      </c>
      <c r="AI7" s="24">
        <v>184.16107382550337</v>
      </c>
      <c r="AJ7" s="94">
        <v>191.27516778523488</v>
      </c>
      <c r="AK7" s="60">
        <f t="shared" ref="AK7:AK12" si="5">SUM(AG7:AJ7)</f>
        <v>771.40939597315435</v>
      </c>
      <c r="AL7" s="24"/>
      <c r="AM7" s="24">
        <v>208.3221476510067</v>
      </c>
      <c r="AN7" s="24">
        <v>221.61073825503354</v>
      </c>
      <c r="AO7" s="24">
        <v>201.47651006711408</v>
      </c>
      <c r="AP7" s="94">
        <v>215.16778523489933</v>
      </c>
      <c r="AQ7" s="60">
        <f t="shared" ref="AQ7:AQ12" si="6">SUM(AM7:AP7)</f>
        <v>846.57718120805362</v>
      </c>
      <c r="AR7" s="24"/>
      <c r="AS7" s="24">
        <v>219.59731543624162</v>
      </c>
      <c r="AT7" s="24">
        <v>227.24832214765101</v>
      </c>
      <c r="AU7" s="24">
        <v>203.62416107382549</v>
      </c>
      <c r="AV7" s="94">
        <v>220.80536912751677</v>
      </c>
      <c r="AW7" s="60">
        <f t="shared" ref="AW7:AW12" si="7">SUM(AS7:AV7)</f>
        <v>871.27516778523488</v>
      </c>
      <c r="AX7" s="24"/>
      <c r="AY7" s="24">
        <v>222.14765100671141</v>
      </c>
      <c r="AZ7" s="24">
        <v>233.69127516778522</v>
      </c>
      <c r="BA7" s="24">
        <v>208.85906040268455</v>
      </c>
      <c r="BB7" s="94">
        <v>215.9731543624161</v>
      </c>
      <c r="BC7" s="60">
        <f t="shared" ref="BC7:BC12" si="8">SUM(AY7:BB7)</f>
        <v>880.67114093959731</v>
      </c>
      <c r="BD7" s="24"/>
      <c r="BE7" s="24">
        <v>233.15436241610738</v>
      </c>
      <c r="BF7" s="24">
        <v>236.6442953020134</v>
      </c>
      <c r="BG7" s="24">
        <v>209.26174496644296</v>
      </c>
      <c r="BH7" s="94">
        <v>238.52348993288589</v>
      </c>
      <c r="BI7" s="60">
        <f t="shared" ref="BI7:BI12" si="9">SUM(BE7:BH7)</f>
        <v>917.58389261744969</v>
      </c>
      <c r="BJ7" s="24"/>
      <c r="BK7" s="24">
        <v>241.07382550335569</v>
      </c>
      <c r="BL7" s="24">
        <v>253.15436241610738</v>
      </c>
      <c r="BM7" s="24">
        <v>230.60402684563758</v>
      </c>
      <c r="BN7" s="94">
        <v>246.7</v>
      </c>
      <c r="BO7" s="60">
        <f t="shared" ref="BO7:BO12" si="10">SUM(BK7:BN7)</f>
        <v>971.53221476510066</v>
      </c>
      <c r="BP7" s="24"/>
      <c r="BQ7" s="24">
        <v>255.4</v>
      </c>
      <c r="BR7" s="24">
        <v>276.5</v>
      </c>
      <c r="BS7" s="24">
        <v>250.3</v>
      </c>
      <c r="BT7" s="94">
        <v>276.3</v>
      </c>
      <c r="BU7" s="60">
        <f t="shared" ref="BU7:BU12" si="11">SUM(BQ7:BT7)</f>
        <v>1058.5</v>
      </c>
      <c r="BV7" s="24"/>
      <c r="BW7" s="24">
        <v>269</v>
      </c>
      <c r="BX7" s="24">
        <v>280</v>
      </c>
      <c r="BY7" s="24">
        <v>252.7</v>
      </c>
      <c r="BZ7" s="94"/>
      <c r="CA7" s="60"/>
      <c r="CB7" s="24"/>
      <c r="CC7" s="24"/>
      <c r="CD7" s="24"/>
      <c r="CE7" s="24"/>
      <c r="CF7" s="94"/>
      <c r="CG7" s="60"/>
      <c r="CH7" s="24"/>
      <c r="CI7" s="24"/>
      <c r="CJ7" s="24"/>
      <c r="CK7" s="24"/>
      <c r="CL7" s="94"/>
      <c r="CM7" s="60"/>
    </row>
    <row r="8" spans="1:221" hidden="1" x14ac:dyDescent="0.2">
      <c r="A8" s="2" t="s">
        <v>26</v>
      </c>
      <c r="C8" s="24">
        <v>0.26845637583892618</v>
      </c>
      <c r="D8" s="24">
        <v>0.13422818791946309</v>
      </c>
      <c r="E8" s="24">
        <v>0.13422818791946309</v>
      </c>
      <c r="F8" s="24">
        <v>0</v>
      </c>
      <c r="G8" s="60">
        <f t="shared" si="0"/>
        <v>0.53691275167785235</v>
      </c>
      <c r="H8" s="24"/>
      <c r="I8" s="24">
        <v>0</v>
      </c>
      <c r="J8" s="24">
        <v>0</v>
      </c>
      <c r="K8" s="24">
        <v>0</v>
      </c>
      <c r="L8" s="24">
        <v>0</v>
      </c>
      <c r="M8" s="60">
        <f t="shared" si="1"/>
        <v>0</v>
      </c>
      <c r="N8" s="24"/>
      <c r="O8" s="24">
        <v>0</v>
      </c>
      <c r="P8" s="24">
        <v>0</v>
      </c>
      <c r="Q8" s="24">
        <v>0</v>
      </c>
      <c r="R8" s="24">
        <v>0</v>
      </c>
      <c r="S8" s="60">
        <f t="shared" si="2"/>
        <v>0</v>
      </c>
      <c r="T8" s="24"/>
      <c r="U8" s="24">
        <v>0</v>
      </c>
      <c r="V8" s="24">
        <v>0</v>
      </c>
      <c r="W8" s="24">
        <v>0</v>
      </c>
      <c r="X8" s="24">
        <v>0</v>
      </c>
      <c r="Y8" s="60">
        <f t="shared" si="3"/>
        <v>0</v>
      </c>
      <c r="Z8" s="24"/>
      <c r="AA8" s="24">
        <v>0</v>
      </c>
      <c r="AB8" s="24">
        <v>0</v>
      </c>
      <c r="AC8" s="24">
        <v>0</v>
      </c>
      <c r="AD8" s="94">
        <v>0</v>
      </c>
      <c r="AE8" s="60">
        <f t="shared" si="4"/>
        <v>0</v>
      </c>
      <c r="AF8" s="24"/>
      <c r="AG8" s="24">
        <v>0</v>
      </c>
      <c r="AH8" s="24">
        <v>0</v>
      </c>
      <c r="AI8" s="24">
        <v>0</v>
      </c>
      <c r="AJ8" s="94">
        <v>0</v>
      </c>
      <c r="AK8" s="60">
        <f t="shared" si="5"/>
        <v>0</v>
      </c>
      <c r="AL8" s="24"/>
      <c r="AM8" s="24">
        <v>0</v>
      </c>
      <c r="AN8" s="24">
        <v>0</v>
      </c>
      <c r="AO8" s="24">
        <v>0</v>
      </c>
      <c r="AP8" s="94">
        <v>0</v>
      </c>
      <c r="AQ8" s="60">
        <f t="shared" si="6"/>
        <v>0</v>
      </c>
      <c r="AR8" s="24"/>
      <c r="AS8" s="24">
        <v>0</v>
      </c>
      <c r="AT8" s="24">
        <v>0</v>
      </c>
      <c r="AU8" s="24">
        <v>0</v>
      </c>
      <c r="AV8" s="94">
        <v>0</v>
      </c>
      <c r="AW8" s="60">
        <f t="shared" si="7"/>
        <v>0</v>
      </c>
      <c r="AX8" s="24"/>
      <c r="AY8" s="24">
        <v>0</v>
      </c>
      <c r="AZ8" s="24">
        <v>0</v>
      </c>
      <c r="BA8" s="24">
        <v>0</v>
      </c>
      <c r="BB8" s="94">
        <v>0</v>
      </c>
      <c r="BC8" s="60">
        <f t="shared" si="8"/>
        <v>0</v>
      </c>
      <c r="BD8" s="24"/>
      <c r="BE8" s="24">
        <v>0</v>
      </c>
      <c r="BF8" s="24">
        <v>0</v>
      </c>
      <c r="BG8" s="24">
        <v>0</v>
      </c>
      <c r="BH8" s="94">
        <v>0</v>
      </c>
      <c r="BI8" s="60">
        <f t="shared" si="9"/>
        <v>0</v>
      </c>
      <c r="BJ8" s="24"/>
      <c r="BK8" s="24">
        <v>0</v>
      </c>
      <c r="BL8" s="24">
        <v>0</v>
      </c>
      <c r="BM8" s="24">
        <v>0</v>
      </c>
      <c r="BN8" s="94"/>
      <c r="BO8" s="60">
        <f t="shared" si="10"/>
        <v>0</v>
      </c>
      <c r="BP8" s="24"/>
      <c r="BQ8" s="24">
        <v>0</v>
      </c>
      <c r="BR8" s="24"/>
      <c r="BS8" s="24"/>
      <c r="BT8" s="94"/>
      <c r="BU8" s="60">
        <f t="shared" si="11"/>
        <v>0</v>
      </c>
      <c r="BV8" s="24"/>
      <c r="BW8" s="24">
        <v>0</v>
      </c>
      <c r="BX8" s="24"/>
      <c r="BY8" s="24"/>
      <c r="BZ8" s="94"/>
      <c r="CA8" s="60">
        <f t="shared" ref="CA8:CA12" si="12">SUM(BW8:BZ8)</f>
        <v>0</v>
      </c>
      <c r="CB8" s="24"/>
      <c r="CC8" s="24">
        <v>0</v>
      </c>
      <c r="CD8" s="24"/>
      <c r="CE8" s="24"/>
      <c r="CF8" s="94"/>
      <c r="CG8" s="60">
        <f t="shared" ref="CG8:CG11" si="13">SUM(CC8:CF8)</f>
        <v>0</v>
      </c>
      <c r="CH8" s="24"/>
      <c r="CI8" s="24">
        <v>0</v>
      </c>
      <c r="CJ8" s="24"/>
      <c r="CK8" s="24"/>
      <c r="CL8" s="94"/>
      <c r="CM8" s="60">
        <f t="shared" ref="CM8:CM9" si="14">SUM(CI8:CL8)</f>
        <v>0</v>
      </c>
    </row>
    <row r="9" spans="1:221" hidden="1" x14ac:dyDescent="0.2">
      <c r="A9" s="2" t="s">
        <v>27</v>
      </c>
      <c r="C9" s="24">
        <v>0</v>
      </c>
      <c r="D9" s="24">
        <v>0</v>
      </c>
      <c r="E9" s="24">
        <v>0</v>
      </c>
      <c r="F9" s="24">
        <v>0</v>
      </c>
      <c r="G9" s="60">
        <f t="shared" si="0"/>
        <v>0</v>
      </c>
      <c r="H9" s="24"/>
      <c r="I9" s="24">
        <v>0</v>
      </c>
      <c r="J9" s="24">
        <v>0</v>
      </c>
      <c r="K9" s="24">
        <v>0</v>
      </c>
      <c r="L9" s="24">
        <v>0</v>
      </c>
      <c r="M9" s="60">
        <f t="shared" si="1"/>
        <v>0</v>
      </c>
      <c r="N9" s="24"/>
      <c r="O9" s="24">
        <v>0</v>
      </c>
      <c r="P9" s="24">
        <v>0</v>
      </c>
      <c r="Q9" s="24">
        <v>0</v>
      </c>
      <c r="R9" s="24">
        <v>0</v>
      </c>
      <c r="S9" s="60">
        <f t="shared" si="2"/>
        <v>0</v>
      </c>
      <c r="T9" s="24"/>
      <c r="U9" s="24">
        <v>0</v>
      </c>
      <c r="V9" s="24">
        <v>0</v>
      </c>
      <c r="W9" s="24">
        <v>0</v>
      </c>
      <c r="X9" s="24">
        <v>0</v>
      </c>
      <c r="Y9" s="60">
        <f t="shared" si="3"/>
        <v>0</v>
      </c>
      <c r="Z9" s="24"/>
      <c r="AA9" s="24">
        <v>0</v>
      </c>
      <c r="AB9" s="24">
        <v>0</v>
      </c>
      <c r="AC9" s="24">
        <v>0</v>
      </c>
      <c r="AD9" s="94">
        <v>0</v>
      </c>
      <c r="AE9" s="60">
        <f t="shared" si="4"/>
        <v>0</v>
      </c>
      <c r="AF9" s="24"/>
      <c r="AG9" s="24">
        <v>0</v>
      </c>
      <c r="AH9" s="24">
        <v>0</v>
      </c>
      <c r="AI9" s="24">
        <v>0</v>
      </c>
      <c r="AJ9" s="94">
        <v>0</v>
      </c>
      <c r="AK9" s="60">
        <f t="shared" si="5"/>
        <v>0</v>
      </c>
      <c r="AL9" s="24"/>
      <c r="AM9" s="24">
        <v>0</v>
      </c>
      <c r="AN9" s="24">
        <v>0</v>
      </c>
      <c r="AO9" s="24">
        <v>0</v>
      </c>
      <c r="AP9" s="94">
        <v>0</v>
      </c>
      <c r="AQ9" s="60">
        <f t="shared" si="6"/>
        <v>0</v>
      </c>
      <c r="AR9" s="24"/>
      <c r="AS9" s="24">
        <v>0</v>
      </c>
      <c r="AT9" s="24">
        <v>0</v>
      </c>
      <c r="AU9" s="24">
        <v>0</v>
      </c>
      <c r="AV9" s="94">
        <v>0</v>
      </c>
      <c r="AW9" s="60">
        <f t="shared" si="7"/>
        <v>0</v>
      </c>
      <c r="AX9" s="24"/>
      <c r="AY9" s="24">
        <v>0</v>
      </c>
      <c r="AZ9" s="24">
        <v>0</v>
      </c>
      <c r="BA9" s="24">
        <v>0</v>
      </c>
      <c r="BB9" s="94">
        <v>0</v>
      </c>
      <c r="BC9" s="60">
        <f t="shared" si="8"/>
        <v>0</v>
      </c>
      <c r="BD9" s="24"/>
      <c r="BE9" s="24">
        <v>0</v>
      </c>
      <c r="BF9" s="24">
        <v>0</v>
      </c>
      <c r="BG9" s="24">
        <v>0</v>
      </c>
      <c r="BH9" s="94">
        <v>0</v>
      </c>
      <c r="BI9" s="60">
        <f t="shared" si="9"/>
        <v>0</v>
      </c>
      <c r="BJ9" s="24"/>
      <c r="BK9" s="24">
        <v>0</v>
      </c>
      <c r="BL9" s="24">
        <v>0</v>
      </c>
      <c r="BM9" s="24">
        <v>0</v>
      </c>
      <c r="BN9" s="94"/>
      <c r="BO9" s="60">
        <f t="shared" si="10"/>
        <v>0</v>
      </c>
      <c r="BP9" s="24"/>
      <c r="BQ9" s="24">
        <v>0</v>
      </c>
      <c r="BR9" s="24"/>
      <c r="BS9" s="24"/>
      <c r="BT9" s="94"/>
      <c r="BU9" s="60">
        <f t="shared" si="11"/>
        <v>0</v>
      </c>
      <c r="BV9" s="24"/>
      <c r="BW9" s="24">
        <v>0</v>
      </c>
      <c r="BX9" s="24"/>
      <c r="BY9" s="24"/>
      <c r="BZ9" s="94"/>
      <c r="CA9" s="60">
        <f t="shared" si="12"/>
        <v>0</v>
      </c>
      <c r="CB9" s="24"/>
      <c r="CC9" s="24">
        <v>0</v>
      </c>
      <c r="CD9" s="24"/>
      <c r="CE9" s="24"/>
      <c r="CF9" s="94"/>
      <c r="CG9" s="60">
        <f t="shared" si="13"/>
        <v>0</v>
      </c>
      <c r="CH9" s="24"/>
      <c r="CI9" s="24">
        <v>0</v>
      </c>
      <c r="CJ9" s="24"/>
      <c r="CK9" s="24"/>
      <c r="CL9" s="94"/>
      <c r="CM9" s="60">
        <f t="shared" si="14"/>
        <v>0</v>
      </c>
    </row>
    <row r="10" spans="1:221" x14ac:dyDescent="0.2">
      <c r="A10" s="2" t="s">
        <v>140</v>
      </c>
      <c r="C10" s="24">
        <v>3.3557046979865772</v>
      </c>
      <c r="D10" s="24">
        <v>3.8926174496644292</v>
      </c>
      <c r="E10" s="24">
        <v>3.6241610738255035</v>
      </c>
      <c r="F10" s="24">
        <v>3.087248322147651</v>
      </c>
      <c r="G10" s="60">
        <f t="shared" si="0"/>
        <v>13.95973154362416</v>
      </c>
      <c r="H10" s="24"/>
      <c r="I10" s="24">
        <v>3.087248322147651</v>
      </c>
      <c r="J10" s="24">
        <v>2.9530201342281877</v>
      </c>
      <c r="K10" s="24">
        <v>2.4161073825503356</v>
      </c>
      <c r="L10" s="24">
        <v>4.2953020134228188</v>
      </c>
      <c r="M10" s="60">
        <f t="shared" si="1"/>
        <v>12.751677852348994</v>
      </c>
      <c r="N10" s="24"/>
      <c r="O10" s="24">
        <v>2.6845637583892619</v>
      </c>
      <c r="P10" s="24">
        <v>4.1610738255033555</v>
      </c>
      <c r="Q10" s="24">
        <v>3.8926174496644292</v>
      </c>
      <c r="R10" s="24">
        <v>4.2953020134228188</v>
      </c>
      <c r="S10" s="60">
        <f t="shared" si="2"/>
        <v>15.033557046979865</v>
      </c>
      <c r="T10" s="24"/>
      <c r="U10" s="24">
        <v>3.2214765100671139</v>
      </c>
      <c r="V10" s="24">
        <v>7.1140939597315436</v>
      </c>
      <c r="W10" s="24">
        <v>6.3087248322147653</v>
      </c>
      <c r="X10" s="24">
        <f>(171-124)/7.45</f>
        <v>6.3087248322147653</v>
      </c>
      <c r="Y10" s="60">
        <f t="shared" si="3"/>
        <v>22.953020134228186</v>
      </c>
      <c r="Z10" s="24"/>
      <c r="AA10" s="24">
        <v>6.174496644295302</v>
      </c>
      <c r="AB10" s="24">
        <v>4.9664429530201337</v>
      </c>
      <c r="AC10" s="24">
        <v>4.6979865771812079</v>
      </c>
      <c r="AD10" s="94">
        <v>5.6375838926174495</v>
      </c>
      <c r="AE10" s="60">
        <f t="shared" si="4"/>
        <v>21.476510067114091</v>
      </c>
      <c r="AF10" s="24"/>
      <c r="AG10" s="24">
        <v>5.2348993288590604</v>
      </c>
      <c r="AH10" s="24">
        <v>6.4429530201342278</v>
      </c>
      <c r="AI10" s="24">
        <v>6.0402684563758386</v>
      </c>
      <c r="AJ10" s="94">
        <v>7.1140939597315436</v>
      </c>
      <c r="AK10" s="60">
        <f t="shared" si="5"/>
        <v>24.832214765100669</v>
      </c>
      <c r="AL10" s="24"/>
      <c r="AM10" s="24">
        <v>5.7718120805369129</v>
      </c>
      <c r="AN10" s="24">
        <v>6.7114093959731544</v>
      </c>
      <c r="AO10" s="24">
        <v>7.3825503355704694</v>
      </c>
      <c r="AP10" s="94">
        <v>8.3221476510067109</v>
      </c>
      <c r="AQ10" s="60">
        <f t="shared" si="6"/>
        <v>28.187919463087248</v>
      </c>
      <c r="AR10" s="24"/>
      <c r="AS10" s="24">
        <v>7.9194630872483218</v>
      </c>
      <c r="AT10" s="24">
        <v>6.9798657718120802</v>
      </c>
      <c r="AU10" s="24">
        <v>6.8456375838926169</v>
      </c>
      <c r="AV10" s="94">
        <v>10.067114093959731</v>
      </c>
      <c r="AW10" s="60">
        <f t="shared" si="7"/>
        <v>31.812080536912749</v>
      </c>
      <c r="AX10" s="24"/>
      <c r="AY10" s="24">
        <v>7.3825503355704694</v>
      </c>
      <c r="AZ10" s="24">
        <v>8.3221476510067109</v>
      </c>
      <c r="BA10" s="24">
        <v>8.3221476510067109</v>
      </c>
      <c r="BB10" s="94">
        <v>11.677852348993289</v>
      </c>
      <c r="BC10" s="60">
        <f t="shared" si="8"/>
        <v>35.70469798657718</v>
      </c>
      <c r="BD10" s="24"/>
      <c r="BE10" s="24">
        <v>8.724832214765101</v>
      </c>
      <c r="BF10" s="24">
        <v>8.9932885906040259</v>
      </c>
      <c r="BG10" s="24">
        <v>8.724832214765101</v>
      </c>
      <c r="BH10" s="94">
        <v>12.483221476510067</v>
      </c>
      <c r="BI10" s="60">
        <f t="shared" si="9"/>
        <v>38.926174496644293</v>
      </c>
      <c r="BJ10" s="24"/>
      <c r="BK10" s="24">
        <v>8.724832214765101</v>
      </c>
      <c r="BL10" s="24">
        <v>8.3221476510067109</v>
      </c>
      <c r="BM10" s="24">
        <v>10.872483221476509</v>
      </c>
      <c r="BN10" s="94">
        <v>12.700000000000003</v>
      </c>
      <c r="BO10" s="60">
        <f t="shared" si="10"/>
        <v>40.61946308724832</v>
      </c>
      <c r="BP10" s="24"/>
      <c r="BQ10" s="24">
        <v>7.2</v>
      </c>
      <c r="BR10" s="24">
        <v>8.9</v>
      </c>
      <c r="BS10" s="24">
        <v>10.8</v>
      </c>
      <c r="BT10" s="94">
        <v>16.2</v>
      </c>
      <c r="BU10" s="60">
        <f t="shared" si="11"/>
        <v>43.1</v>
      </c>
      <c r="BV10" s="24"/>
      <c r="BW10" s="24">
        <v>7.5</v>
      </c>
      <c r="BX10" s="24">
        <v>11.2</v>
      </c>
      <c r="BY10" s="24">
        <v>11.2</v>
      </c>
      <c r="BZ10" s="94">
        <v>21</v>
      </c>
      <c r="CA10" s="60">
        <f t="shared" si="12"/>
        <v>50.9</v>
      </c>
      <c r="CB10" s="24"/>
      <c r="CC10" s="24">
        <v>12.4</v>
      </c>
      <c r="CD10" s="24">
        <v>17.600000000000001</v>
      </c>
      <c r="CE10" s="24">
        <v>15.2</v>
      </c>
      <c r="CF10" s="94">
        <f>67.7-45.2</f>
        <v>22.5</v>
      </c>
      <c r="CG10" s="60">
        <f>SUM(CC10:CF10)</f>
        <v>67.7</v>
      </c>
      <c r="CH10" s="24"/>
      <c r="CI10" s="24">
        <v>14.5</v>
      </c>
      <c r="CJ10" s="24">
        <v>17.899999999999999</v>
      </c>
      <c r="CK10" s="24">
        <v>16.7</v>
      </c>
      <c r="CL10" s="94">
        <v>25.5</v>
      </c>
      <c r="CM10" s="60">
        <f>SUM(CI10:CL10)</f>
        <v>74.599999999999994</v>
      </c>
    </row>
    <row r="11" spans="1:221" hidden="1" x14ac:dyDescent="0.2">
      <c r="A11" s="2" t="s">
        <v>30</v>
      </c>
      <c r="C11" s="24">
        <v>0</v>
      </c>
      <c r="D11" s="24">
        <v>0</v>
      </c>
      <c r="E11" s="24">
        <v>0</v>
      </c>
      <c r="F11" s="24">
        <v>0</v>
      </c>
      <c r="G11" s="60">
        <f t="shared" si="0"/>
        <v>0</v>
      </c>
      <c r="H11" s="24"/>
      <c r="I11" s="24">
        <v>0</v>
      </c>
      <c r="J11" s="24">
        <v>0</v>
      </c>
      <c r="K11" s="24">
        <v>0</v>
      </c>
      <c r="L11" s="24">
        <v>0</v>
      </c>
      <c r="M11" s="60">
        <f t="shared" si="1"/>
        <v>0</v>
      </c>
      <c r="N11" s="24"/>
      <c r="O11" s="24">
        <v>0</v>
      </c>
      <c r="P11" s="24">
        <v>0</v>
      </c>
      <c r="Q11" s="24">
        <v>0</v>
      </c>
      <c r="R11" s="24">
        <v>0</v>
      </c>
      <c r="S11" s="60">
        <f t="shared" si="2"/>
        <v>0</v>
      </c>
      <c r="T11" s="24"/>
      <c r="U11" s="24">
        <v>0</v>
      </c>
      <c r="V11" s="24">
        <v>0</v>
      </c>
      <c r="W11" s="24">
        <v>0</v>
      </c>
      <c r="X11" s="24">
        <v>0</v>
      </c>
      <c r="Y11" s="60">
        <f t="shared" si="3"/>
        <v>0</v>
      </c>
      <c r="Z11" s="24"/>
      <c r="AA11" s="24">
        <v>0</v>
      </c>
      <c r="AB11" s="24">
        <v>0</v>
      </c>
      <c r="AC11" s="24">
        <v>0</v>
      </c>
      <c r="AD11" s="94">
        <v>0</v>
      </c>
      <c r="AE11" s="60">
        <f t="shared" si="4"/>
        <v>0</v>
      </c>
      <c r="AF11" s="24"/>
      <c r="AG11" s="24">
        <v>0</v>
      </c>
      <c r="AH11" s="24">
        <v>0</v>
      </c>
      <c r="AI11" s="24">
        <v>0</v>
      </c>
      <c r="AJ11" s="94">
        <v>0</v>
      </c>
      <c r="AK11" s="60">
        <f t="shared" si="5"/>
        <v>0</v>
      </c>
      <c r="AL11" s="24"/>
      <c r="AM11" s="24">
        <v>0</v>
      </c>
      <c r="AN11" s="24">
        <v>0</v>
      </c>
      <c r="AO11" s="24">
        <v>0</v>
      </c>
      <c r="AP11" s="94">
        <v>0</v>
      </c>
      <c r="AQ11" s="60">
        <f t="shared" si="6"/>
        <v>0</v>
      </c>
      <c r="AR11" s="24"/>
      <c r="AS11" s="24">
        <v>0</v>
      </c>
      <c r="AT11" s="24">
        <v>0</v>
      </c>
      <c r="AU11" s="24">
        <v>0</v>
      </c>
      <c r="AV11" s="94">
        <v>0</v>
      </c>
      <c r="AW11" s="60">
        <f t="shared" si="7"/>
        <v>0</v>
      </c>
      <c r="AX11" s="24"/>
      <c r="AY11" s="24">
        <v>0</v>
      </c>
      <c r="AZ11" s="24">
        <v>0</v>
      </c>
      <c r="BA11" s="24">
        <v>0</v>
      </c>
      <c r="BB11" s="94">
        <v>0</v>
      </c>
      <c r="BC11" s="60">
        <f t="shared" si="8"/>
        <v>0</v>
      </c>
      <c r="BD11" s="24"/>
      <c r="BE11" s="24">
        <v>0</v>
      </c>
      <c r="BF11" s="24">
        <v>0</v>
      </c>
      <c r="BG11" s="24">
        <v>0</v>
      </c>
      <c r="BH11" s="94">
        <v>0</v>
      </c>
      <c r="BI11" s="60">
        <f t="shared" si="9"/>
        <v>0</v>
      </c>
      <c r="BJ11" s="24"/>
      <c r="BK11" s="24">
        <v>0</v>
      </c>
      <c r="BL11" s="24">
        <v>0</v>
      </c>
      <c r="BM11" s="24">
        <v>0</v>
      </c>
      <c r="BN11" s="94"/>
      <c r="BO11" s="60">
        <f t="shared" si="10"/>
        <v>0</v>
      </c>
      <c r="BP11" s="24"/>
      <c r="BQ11" s="24">
        <v>0</v>
      </c>
      <c r="BR11" s="24"/>
      <c r="BS11" s="24"/>
      <c r="BT11" s="94"/>
      <c r="BU11" s="60">
        <f t="shared" si="11"/>
        <v>0</v>
      </c>
      <c r="BV11" s="24"/>
      <c r="BW11" s="24">
        <v>0</v>
      </c>
      <c r="BX11" s="24"/>
      <c r="BY11" s="24"/>
      <c r="BZ11" s="94"/>
      <c r="CA11" s="60">
        <f t="shared" si="12"/>
        <v>0</v>
      </c>
      <c r="CB11" s="24"/>
      <c r="CC11" s="24">
        <v>0</v>
      </c>
      <c r="CD11" s="24"/>
      <c r="CE11" s="24"/>
      <c r="CF11" s="94"/>
      <c r="CG11" s="60">
        <f t="shared" si="13"/>
        <v>0</v>
      </c>
      <c r="CH11" s="24"/>
      <c r="CI11" s="24">
        <v>0</v>
      </c>
      <c r="CJ11" s="24"/>
      <c r="CK11" s="24"/>
      <c r="CL11" s="94"/>
      <c r="CM11" s="60">
        <f t="shared" ref="CM11" si="15">SUM(CI11:CL11)</f>
        <v>0</v>
      </c>
    </row>
    <row r="12" spans="1:221" x14ac:dyDescent="0.2">
      <c r="A12" s="2" t="s">
        <v>50</v>
      </c>
      <c r="C12" s="24">
        <v>0</v>
      </c>
      <c r="D12" s="24">
        <v>-0.26845637583892618</v>
      </c>
      <c r="E12" s="24">
        <v>0.26845637583892618</v>
      </c>
      <c r="F12" s="24">
        <v>0</v>
      </c>
      <c r="G12" s="60">
        <f t="shared" si="0"/>
        <v>0</v>
      </c>
      <c r="H12" s="24"/>
      <c r="I12" s="24">
        <v>0.40268456375838924</v>
      </c>
      <c r="J12" s="24">
        <v>0.53691275167785235</v>
      </c>
      <c r="K12" s="24">
        <v>0.40268456375838924</v>
      </c>
      <c r="L12" s="24">
        <v>0.40268456375838924</v>
      </c>
      <c r="M12" s="60">
        <f t="shared" si="1"/>
        <v>1.7449664429530198</v>
      </c>
      <c r="N12" s="24"/>
      <c r="O12" s="24">
        <v>0.53691275167785235</v>
      </c>
      <c r="P12" s="24">
        <v>0.40268456375838924</v>
      </c>
      <c r="Q12" s="24">
        <v>0.40268456375838924</v>
      </c>
      <c r="R12" s="24">
        <v>-0.67114093959731547</v>
      </c>
      <c r="S12" s="60">
        <f t="shared" si="2"/>
        <v>0.67114093959731524</v>
      </c>
      <c r="T12" s="24"/>
      <c r="U12" s="24">
        <v>0.40268456375838924</v>
      </c>
      <c r="V12" s="24">
        <v>0.26845637583892618</v>
      </c>
      <c r="W12" s="24">
        <v>0.53691275167785235</v>
      </c>
      <c r="X12" s="24">
        <v>0</v>
      </c>
      <c r="Y12" s="60">
        <f t="shared" si="3"/>
        <v>1.2080536912751678</v>
      </c>
      <c r="Z12" s="24"/>
      <c r="AA12" s="24">
        <v>0.13422818791946309</v>
      </c>
      <c r="AB12" s="24">
        <v>0.26845637583892618</v>
      </c>
      <c r="AC12" s="24">
        <v>0.13422818791946309</v>
      </c>
      <c r="AD12" s="94">
        <v>0.26845637583892618</v>
      </c>
      <c r="AE12" s="60">
        <f t="shared" si="4"/>
        <v>0.80536912751677847</v>
      </c>
      <c r="AF12" s="24"/>
      <c r="AG12" s="24">
        <v>0.13422818791946309</v>
      </c>
      <c r="AH12" s="24">
        <v>-0.13422818791946309</v>
      </c>
      <c r="AI12" s="24">
        <v>0</v>
      </c>
      <c r="AJ12" s="94">
        <v>-0.13422818791946309</v>
      </c>
      <c r="AK12" s="60">
        <f t="shared" si="5"/>
        <v>-0.13422818791946309</v>
      </c>
      <c r="AL12" s="24"/>
      <c r="AM12" s="24">
        <v>0</v>
      </c>
      <c r="AN12" s="24">
        <v>-0.13422818791946309</v>
      </c>
      <c r="AO12" s="24">
        <v>0</v>
      </c>
      <c r="AP12" s="94">
        <v>0</v>
      </c>
      <c r="AQ12" s="60">
        <f t="shared" si="6"/>
        <v>-0.13422818791946309</v>
      </c>
      <c r="AR12" s="24"/>
      <c r="AS12" s="24">
        <v>-0.13422818791946309</v>
      </c>
      <c r="AT12" s="24">
        <v>0</v>
      </c>
      <c r="AU12" s="24">
        <v>0.13422818791946309</v>
      </c>
      <c r="AV12" s="94">
        <v>-0.13422818791946309</v>
      </c>
      <c r="AW12" s="60">
        <f t="shared" si="7"/>
        <v>-0.13422818791946309</v>
      </c>
      <c r="AX12" s="24"/>
      <c r="AY12" s="24">
        <v>0</v>
      </c>
      <c r="AZ12" s="24">
        <v>-0.26845637583892618</v>
      </c>
      <c r="BA12" s="24">
        <v>0.40268456375838924</v>
      </c>
      <c r="BB12" s="94">
        <v>-0.26845637583892618</v>
      </c>
      <c r="BC12" s="60">
        <f t="shared" si="8"/>
        <v>-0.13422818791946312</v>
      </c>
      <c r="BD12" s="24"/>
      <c r="BE12" s="24">
        <v>-0.13422818791946309</v>
      </c>
      <c r="BF12" s="24">
        <v>0.13422818791946309</v>
      </c>
      <c r="BG12" s="24">
        <v>0</v>
      </c>
      <c r="BH12" s="94">
        <v>-0.13422818791946309</v>
      </c>
      <c r="BI12" s="60">
        <f t="shared" si="9"/>
        <v>-0.13422818791946309</v>
      </c>
      <c r="BJ12" s="24"/>
      <c r="BK12" s="24">
        <v>0</v>
      </c>
      <c r="BL12" s="24">
        <v>0</v>
      </c>
      <c r="BM12" s="24">
        <v>-0.13422818791946309</v>
      </c>
      <c r="BN12" s="94">
        <v>-0.4</v>
      </c>
      <c r="BO12" s="60">
        <f t="shared" si="10"/>
        <v>-0.53422818791946314</v>
      </c>
      <c r="BP12" s="24"/>
      <c r="BQ12" s="24">
        <v>0</v>
      </c>
      <c r="BR12" s="24">
        <v>0</v>
      </c>
      <c r="BS12" s="24"/>
      <c r="BT12" s="94">
        <v>-0.7</v>
      </c>
      <c r="BU12" s="60">
        <f t="shared" si="11"/>
        <v>-0.7</v>
      </c>
      <c r="BV12" s="24"/>
      <c r="BW12" s="24">
        <v>0</v>
      </c>
      <c r="BX12" s="24">
        <v>0</v>
      </c>
      <c r="BY12" s="24">
        <v>0</v>
      </c>
      <c r="BZ12" s="94">
        <v>-0.5</v>
      </c>
      <c r="CA12" s="60">
        <f t="shared" si="12"/>
        <v>-0.5</v>
      </c>
      <c r="CB12" s="24"/>
      <c r="CC12" s="24">
        <v>0</v>
      </c>
      <c r="CD12" s="24">
        <v>-0.1</v>
      </c>
      <c r="CE12" s="24">
        <v>-0.4</v>
      </c>
      <c r="CF12" s="94">
        <v>-0.2</v>
      </c>
      <c r="CG12" s="60">
        <f>SUM(CC12:CF12)</f>
        <v>-0.7</v>
      </c>
      <c r="CH12" s="24"/>
      <c r="CI12" s="24">
        <v>0</v>
      </c>
      <c r="CJ12" s="24">
        <v>-0.3</v>
      </c>
      <c r="CK12" s="24">
        <v>0</v>
      </c>
      <c r="CL12" s="94">
        <v>-0.1</v>
      </c>
      <c r="CM12" s="60">
        <f>SUM(CI12:CL12)</f>
        <v>-0.4</v>
      </c>
    </row>
    <row r="13" spans="1:221" s="44" customFormat="1" ht="18.75" customHeight="1" x14ac:dyDescent="0.2">
      <c r="C13" s="95">
        <f>SUM(C5:C12)</f>
        <v>250.46979865771809</v>
      </c>
      <c r="D13" s="95">
        <f>SUM(D5:D12)</f>
        <v>307.65100671140942</v>
      </c>
      <c r="E13" s="95">
        <f>SUM(E5:E12)</f>
        <v>299.46308724832215</v>
      </c>
      <c r="F13" s="95">
        <f>SUM(F5:F12)</f>
        <v>316.91275167785233</v>
      </c>
      <c r="G13" s="96">
        <f>SUM(G5:G12)</f>
        <v>1174.4966442953021</v>
      </c>
      <c r="H13" s="95"/>
      <c r="I13" s="95">
        <f>SUM(I5:I12)</f>
        <v>323.75838926174498</v>
      </c>
      <c r="J13" s="95">
        <f>SUM(J5:J12)</f>
        <v>380.80536912751683</v>
      </c>
      <c r="K13" s="95">
        <f>SUM(K5:K12)</f>
        <v>362.81879194630869</v>
      </c>
      <c r="L13" s="95">
        <f>SUM(L5:L12)</f>
        <v>384.29530201342283</v>
      </c>
      <c r="M13" s="96">
        <f>SUM(M5:M12)</f>
        <v>1451.6778523489932</v>
      </c>
      <c r="N13" s="95"/>
      <c r="O13" s="95">
        <f>SUM(O5:O12)</f>
        <v>420.13422818791952</v>
      </c>
      <c r="P13" s="95">
        <f>SUM(P5:P12)</f>
        <v>484.83221476510067</v>
      </c>
      <c r="Q13" s="95">
        <f>SUM(Q5:Q12)</f>
        <v>450.46979865771812</v>
      </c>
      <c r="R13" s="95">
        <f>SUM(R5:R12)</f>
        <v>460.00000000000006</v>
      </c>
      <c r="S13" s="96">
        <f>SUM(S5:S12)</f>
        <v>1815.4362416107383</v>
      </c>
      <c r="T13" s="95"/>
      <c r="U13" s="95">
        <f>SUM(U5:U12)</f>
        <v>451.81208053691273</v>
      </c>
      <c r="V13" s="95">
        <f>SUM(V5:V12)</f>
        <v>508.5906040268456</v>
      </c>
      <c r="W13" s="95">
        <f>SUM(W5:W12)</f>
        <v>473.55704697986573</v>
      </c>
      <c r="X13" s="95">
        <f>SUM(X5:X12)</f>
        <v>422.14765100671138</v>
      </c>
      <c r="Y13" s="96">
        <f>SUM(Y5:Y12)</f>
        <v>1856.1073825503356</v>
      </c>
      <c r="Z13" s="95"/>
      <c r="AA13" s="95">
        <f>SUM(AA5:AA12)</f>
        <v>353.69127516778525</v>
      </c>
      <c r="AB13" s="95">
        <f>SUM(AB5:AB12)</f>
        <v>422.01342281879192</v>
      </c>
      <c r="AC13" s="95">
        <f>SUM(AC5:AC12)</f>
        <v>400.13422818791946</v>
      </c>
      <c r="AD13" s="95">
        <f>SUM(AD5:AD12)</f>
        <v>392.88590604026842</v>
      </c>
      <c r="AE13" s="96">
        <f>SUM(AE5:AE12)</f>
        <v>1568.724832214765</v>
      </c>
      <c r="AF13" s="95"/>
      <c r="AG13" s="95">
        <f>SUM(AG5:AG12)</f>
        <v>411.00671140939596</v>
      </c>
      <c r="AH13" s="95">
        <f>SUM(AH5:AH12)</f>
        <v>487.91946308724829</v>
      </c>
      <c r="AI13" s="95">
        <f>SUM(AI5:AI12)</f>
        <v>500</v>
      </c>
      <c r="AJ13" s="95">
        <f>SUM(AJ5:AJ12)</f>
        <v>540.80536912751677</v>
      </c>
      <c r="AK13" s="96">
        <f>SUM(AK5:AK12)</f>
        <v>1939.7315436241608</v>
      </c>
      <c r="AL13" s="95"/>
      <c r="AM13" s="95">
        <f>SUM(AM5:AM12)</f>
        <v>506.57718120805367</v>
      </c>
      <c r="AN13" s="95">
        <f>SUM(AN5:AN12)</f>
        <v>539.06040268456377</v>
      </c>
      <c r="AO13" s="95">
        <f>SUM(AO5:AO12)</f>
        <v>525.10067114093965</v>
      </c>
      <c r="AP13" s="95">
        <f>SUM(AP5:AP12)</f>
        <v>523.75838926174504</v>
      </c>
      <c r="AQ13" s="96">
        <f>SUM(AQ5:AQ12)</f>
        <v>2094.4966442953018</v>
      </c>
      <c r="AR13" s="95"/>
      <c r="AS13" s="95">
        <f>SUM(AS5:AS12)</f>
        <v>473.95973154362417</v>
      </c>
      <c r="AT13" s="95">
        <f>SUM(AT5:AT12)</f>
        <v>524.02684563758396</v>
      </c>
      <c r="AU13" s="95">
        <f>SUM(AU5:AU12)</f>
        <v>512.21476510067112</v>
      </c>
      <c r="AV13" s="95">
        <f>SUM(AV5:AV12)</f>
        <v>537.18120805369119</v>
      </c>
      <c r="AW13" s="96">
        <f>SUM(AW5:AW12)</f>
        <v>2047.3825503355706</v>
      </c>
      <c r="AX13" s="95"/>
      <c r="AY13" s="95">
        <f>SUM(AY5:AY12)</f>
        <v>471.0067114093959</v>
      </c>
      <c r="AZ13" s="95">
        <f>SUM(AZ5:AZ12)</f>
        <v>542.01342281879192</v>
      </c>
      <c r="BA13" s="95">
        <f>SUM(BA5:BA12)</f>
        <v>547.24832214765104</v>
      </c>
      <c r="BB13" s="95">
        <f>SUM(BB5:BB12)</f>
        <v>561.744966442953</v>
      </c>
      <c r="BC13" s="96">
        <f>SUM(BC5:BC12)</f>
        <v>2122.0134228187917</v>
      </c>
      <c r="BD13" s="95"/>
      <c r="BE13" s="95">
        <f>SUM(BE5:BE12)</f>
        <v>518.79194630872485</v>
      </c>
      <c r="BF13" s="95">
        <f>SUM(BF5:BF12)</f>
        <v>540.67114093959731</v>
      </c>
      <c r="BG13" s="95">
        <f>SUM(BG5:BG12)</f>
        <v>529.66442953020135</v>
      </c>
      <c r="BH13" s="95">
        <f>SUM(BH5:BH12)</f>
        <v>540.13422818791946</v>
      </c>
      <c r="BI13" s="96">
        <f>SUM(BI5:BI12)</f>
        <v>2129.2617449664426</v>
      </c>
      <c r="BJ13" s="95"/>
      <c r="BK13" s="95">
        <f>SUM(BK5:BK12)</f>
        <v>558.92617449664431</v>
      </c>
      <c r="BL13" s="95">
        <f>SUM(BL5:BL12)</f>
        <v>600.13422818791946</v>
      </c>
      <c r="BM13" s="95">
        <f>SUM(BM5:BM12)</f>
        <v>523.489932885906</v>
      </c>
      <c r="BN13" s="95">
        <f>SUM(BN5:BN12)</f>
        <v>541.00000000000011</v>
      </c>
      <c r="BO13" s="96">
        <f>SUM(BO5:BO12)</f>
        <v>2223.55033557047</v>
      </c>
      <c r="BP13" s="95"/>
      <c r="BQ13" s="95">
        <f>SUM(BQ5:BQ12)</f>
        <v>485.59999999999997</v>
      </c>
      <c r="BR13" s="95">
        <f>SUM(BR5:BR12)</f>
        <v>553.19999999999993</v>
      </c>
      <c r="BS13" s="95">
        <f>SUM(BS5:BS12)</f>
        <v>519</v>
      </c>
      <c r="BT13" s="95">
        <f>SUM(BT5:BT12)</f>
        <v>546.79999999999995</v>
      </c>
      <c r="BU13" s="96">
        <f>SUM(BU5:BU12)</f>
        <v>2104.6</v>
      </c>
      <c r="BV13" s="95"/>
      <c r="BW13" s="95">
        <f>SUM(BW5:BW12)</f>
        <v>550.29999999999995</v>
      </c>
      <c r="BX13" s="95">
        <f>SUM(BX5:BX12)</f>
        <v>681.5</v>
      </c>
      <c r="BY13" s="95">
        <f>SUM(BY5:BY12)</f>
        <v>660.5</v>
      </c>
      <c r="BZ13" s="95">
        <f>SUM(BZ5:BZ12)</f>
        <v>388.7</v>
      </c>
      <c r="CA13" s="96">
        <f>SUM(CA5:CA12)</f>
        <v>1479.3000000000002</v>
      </c>
      <c r="CB13" s="95"/>
      <c r="CC13" s="95">
        <f>SUM(CC5:CC12)</f>
        <v>363.5</v>
      </c>
      <c r="CD13" s="95">
        <f>SUM(CD5:CD12)</f>
        <v>424.7</v>
      </c>
      <c r="CE13" s="95">
        <f>SUM(CE5:CE12)</f>
        <v>381.8</v>
      </c>
      <c r="CF13" s="95">
        <f>SUM(CF5:CF12)</f>
        <v>331.59999999999997</v>
      </c>
      <c r="CG13" s="96">
        <f>SUM(CG5:CG12)</f>
        <v>1501.6</v>
      </c>
      <c r="CH13" s="95"/>
      <c r="CI13" s="95">
        <f>SUM(CI5:CI12)</f>
        <v>294.3</v>
      </c>
      <c r="CJ13" s="95">
        <f>SUM(CJ5:CJ12)</f>
        <v>355.4</v>
      </c>
      <c r="CK13" s="95">
        <f>SUM(CK5:CK12)</f>
        <v>325.3</v>
      </c>
      <c r="CL13" s="95">
        <f>SUM(CL5:CL12)</f>
        <v>367.4</v>
      </c>
      <c r="CM13" s="96">
        <f>SUM(CM5:CM12)</f>
        <v>1342.3999999999999</v>
      </c>
    </row>
    <row r="14" spans="1:221" s="49" customFormat="1" ht="8.4499999999999993" customHeight="1" x14ac:dyDescent="0.2">
      <c r="C14" s="97"/>
      <c r="D14" s="97"/>
      <c r="E14" s="97"/>
      <c r="F14" s="97"/>
      <c r="G14" s="98"/>
      <c r="H14" s="97"/>
      <c r="I14" s="97"/>
      <c r="J14" s="97"/>
      <c r="K14" s="97"/>
      <c r="L14" s="97"/>
      <c r="M14" s="98"/>
      <c r="N14" s="97"/>
      <c r="O14" s="97"/>
      <c r="P14" s="97"/>
      <c r="Q14" s="97"/>
      <c r="R14" s="97"/>
      <c r="S14" s="98"/>
      <c r="T14" s="97"/>
      <c r="U14" s="97"/>
      <c r="V14" s="97"/>
      <c r="W14" s="97"/>
      <c r="X14" s="97"/>
      <c r="Y14" s="98"/>
      <c r="Z14" s="97"/>
      <c r="AA14" s="97"/>
      <c r="AB14" s="97"/>
      <c r="AC14" s="97"/>
      <c r="AD14" s="97"/>
      <c r="AE14" s="98"/>
      <c r="AF14" s="97"/>
      <c r="AG14" s="97">
        <v>0</v>
      </c>
      <c r="AH14" s="97">
        <v>0</v>
      </c>
      <c r="AI14" s="97">
        <v>0</v>
      </c>
      <c r="AJ14" s="97">
        <v>0</v>
      </c>
      <c r="AK14" s="98"/>
      <c r="AL14" s="97"/>
      <c r="AM14" s="97"/>
      <c r="AN14" s="97"/>
      <c r="AO14" s="97"/>
      <c r="AP14" s="97"/>
      <c r="AQ14" s="98"/>
      <c r="AR14" s="97"/>
      <c r="AS14" s="97"/>
      <c r="AT14" s="97"/>
      <c r="AU14" s="97"/>
      <c r="AV14" s="97"/>
      <c r="AW14" s="98"/>
      <c r="AX14" s="97"/>
      <c r="AY14" s="97"/>
      <c r="AZ14" s="97"/>
      <c r="BA14" s="97"/>
      <c r="BB14" s="97"/>
      <c r="BC14" s="98"/>
      <c r="BD14" s="97"/>
      <c r="BE14" s="97"/>
      <c r="BF14" s="97"/>
      <c r="BG14" s="97"/>
      <c r="BH14" s="97"/>
      <c r="BI14" s="98"/>
      <c r="BJ14" s="97"/>
      <c r="BK14" s="97"/>
      <c r="BL14" s="97"/>
      <c r="BM14" s="97"/>
      <c r="BN14" s="97"/>
      <c r="BO14" s="98"/>
      <c r="BP14" s="97"/>
      <c r="BQ14" s="97"/>
      <c r="BR14" s="97"/>
      <c r="BS14" s="97"/>
      <c r="BT14" s="97"/>
      <c r="BU14" s="98"/>
      <c r="BV14" s="97"/>
      <c r="BW14" s="97"/>
      <c r="BX14" s="97"/>
      <c r="BY14" s="97"/>
      <c r="BZ14" s="97"/>
      <c r="CA14" s="98"/>
      <c r="CB14" s="97"/>
      <c r="CC14" s="97"/>
      <c r="CD14" s="97"/>
      <c r="CE14" s="97"/>
      <c r="CF14" s="97"/>
      <c r="CG14" s="98"/>
      <c r="CH14" s="97"/>
      <c r="CI14" s="97"/>
      <c r="CJ14" s="97"/>
      <c r="CK14" s="97"/>
      <c r="CL14" s="97"/>
      <c r="CM14" s="98"/>
    </row>
    <row r="15" spans="1:221" s="1" customFormat="1" ht="11.1" customHeight="1" x14ac:dyDescent="0.2">
      <c r="A15" s="2" t="s">
        <v>144</v>
      </c>
      <c r="B15" s="2"/>
      <c r="C15" s="24">
        <f>(8+559)/7.45</f>
        <v>76.107382550335572</v>
      </c>
      <c r="D15" s="24">
        <f>(8+734)/7.45</f>
        <v>99.597315436241615</v>
      </c>
      <c r="E15" s="24">
        <f>(19+781)/7.45</f>
        <v>107.38255033557047</v>
      </c>
      <c r="F15" s="24">
        <f>(18+832)/7.45</f>
        <v>114.09395973154362</v>
      </c>
      <c r="G15" s="69">
        <f>SUM(C15:F15)</f>
        <v>397.18120805369125</v>
      </c>
      <c r="H15" s="24"/>
      <c r="I15" s="24">
        <f>(18+752)/7.45</f>
        <v>103.35570469798658</v>
      </c>
      <c r="J15" s="24">
        <f>(18+876)/7.45</f>
        <v>120</v>
      </c>
      <c r="K15" s="24">
        <f>(25+840)/7.45</f>
        <v>116.10738255033557</v>
      </c>
      <c r="L15" s="24">
        <f>(31+893)/7.45</f>
        <v>124.02684563758389</v>
      </c>
      <c r="M15" s="69">
        <f>SUM(I15:L15)</f>
        <v>463.48993288590606</v>
      </c>
      <c r="N15" s="24"/>
      <c r="O15" s="24">
        <v>145.36912751677852</v>
      </c>
      <c r="P15" s="24">
        <v>175.16778523489933</v>
      </c>
      <c r="Q15" s="24">
        <v>166.44295302013421</v>
      </c>
      <c r="R15" s="24">
        <v>170.33557046979865</v>
      </c>
      <c r="S15" s="69">
        <f>SUM(O15:R15)</f>
        <v>657.31543624161077</v>
      </c>
      <c r="T15" s="61"/>
      <c r="U15" s="24">
        <v>159.59731543624162</v>
      </c>
      <c r="V15" s="24">
        <v>186.44295302013421</v>
      </c>
      <c r="W15" s="99">
        <v>179.46308724832215</v>
      </c>
      <c r="X15" s="24">
        <v>173.95973154362414</v>
      </c>
      <c r="Y15" s="60">
        <f>SUM(U15:X15)</f>
        <v>699.46308724832204</v>
      </c>
      <c r="Z15" s="61"/>
      <c r="AA15" s="24">
        <v>131.27516778523488</v>
      </c>
      <c r="AB15" s="24">
        <v>178.25503355704697</v>
      </c>
      <c r="AC15" s="99">
        <v>159.06040268456374</v>
      </c>
      <c r="AD15" s="94">
        <v>155.03355704697987</v>
      </c>
      <c r="AE15" s="60">
        <f>SUM(AA15:AD15)</f>
        <v>623.62416107382546</v>
      </c>
      <c r="AF15" s="61"/>
      <c r="AG15" s="24">
        <v>139.06040268456377</v>
      </c>
      <c r="AH15" s="24">
        <v>184.42953020134229</v>
      </c>
      <c r="AI15" s="99">
        <v>204.83221476510067</v>
      </c>
      <c r="AJ15" s="94">
        <v>216.24161073825502</v>
      </c>
      <c r="AK15" s="60">
        <f>SUM(AG15:AJ15)</f>
        <v>744.56375838926169</v>
      </c>
      <c r="AL15" s="61"/>
      <c r="AM15" s="24">
        <v>170.20134228187919</v>
      </c>
      <c r="AN15" s="24">
        <v>184.83221476510067</v>
      </c>
      <c r="AO15" s="99">
        <v>197.4496644295302</v>
      </c>
      <c r="AP15" s="94">
        <v>203.89261744966441</v>
      </c>
      <c r="AQ15" s="60">
        <f>SUM(AM15:AP15)</f>
        <v>756.37583892617442</v>
      </c>
      <c r="AR15" s="61"/>
      <c r="AS15" s="24">
        <v>149.26174496644296</v>
      </c>
      <c r="AT15" s="24">
        <v>179.06040268456374</v>
      </c>
      <c r="AU15" s="99">
        <v>196.91275167785236</v>
      </c>
      <c r="AV15" s="94">
        <v>202.41610738255034</v>
      </c>
      <c r="AW15" s="60">
        <f>SUM(AS15:AV15)</f>
        <v>727.65100671140942</v>
      </c>
      <c r="AX15" s="61"/>
      <c r="AY15" s="24">
        <v>154.2281879194631</v>
      </c>
      <c r="AZ15" s="24">
        <v>196.37583892617448</v>
      </c>
      <c r="BA15" s="99">
        <v>222.95302013422818</v>
      </c>
      <c r="BB15" s="94">
        <v>234.09395973154361</v>
      </c>
      <c r="BC15" s="60">
        <f>SUM(AY15:BB15)</f>
        <v>807.65100671140931</v>
      </c>
      <c r="BD15" s="61"/>
      <c r="BE15" s="24">
        <v>184.96644295302013</v>
      </c>
      <c r="BF15" s="24">
        <v>202.14765100671141</v>
      </c>
      <c r="BG15" s="99">
        <v>222.41610738255034</v>
      </c>
      <c r="BH15" s="94">
        <v>203.22147651006711</v>
      </c>
      <c r="BI15" s="60">
        <f>SUM(BE15:BH15)</f>
        <v>812.75167785234896</v>
      </c>
      <c r="BJ15" s="61"/>
      <c r="BK15" s="24">
        <v>216.6442953020134</v>
      </c>
      <c r="BL15" s="24">
        <v>233.02013422818791</v>
      </c>
      <c r="BM15" s="99">
        <v>197.31543624161074</v>
      </c>
      <c r="BN15" s="94">
        <v>210.6</v>
      </c>
      <c r="BO15" s="60">
        <f>SUM(BK15:BN15)</f>
        <v>857.57986577181214</v>
      </c>
      <c r="BP15" s="61"/>
      <c r="BQ15" s="24">
        <v>163.30000000000001</v>
      </c>
      <c r="BR15" s="24">
        <v>200.1</v>
      </c>
      <c r="BS15" s="99">
        <v>196.3</v>
      </c>
      <c r="BT15" s="94">
        <v>190.7</v>
      </c>
      <c r="BU15" s="60">
        <f>SUM(BQ15:BT15)</f>
        <v>750.40000000000009</v>
      </c>
      <c r="BV15" s="61"/>
      <c r="BW15" s="24">
        <v>185.2</v>
      </c>
      <c r="BX15" s="24">
        <v>288.10000000000002</v>
      </c>
      <c r="BY15" s="99">
        <v>303.2</v>
      </c>
      <c r="BZ15" s="94">
        <v>281.5</v>
      </c>
      <c r="CA15" s="60">
        <f>SUM(BW15:BZ15)</f>
        <v>1058</v>
      </c>
      <c r="CB15" s="61"/>
      <c r="CC15" s="24">
        <v>254.5</v>
      </c>
      <c r="CD15" s="24">
        <v>306.39999999999998</v>
      </c>
      <c r="CE15" s="99">
        <v>286.89999999999998</v>
      </c>
      <c r="CF15" s="94">
        <f>1080.1-847.8</f>
        <v>232.29999999999995</v>
      </c>
      <c r="CG15" s="60">
        <f>SUM(CC15:CF15)</f>
        <v>1080.0999999999999</v>
      </c>
      <c r="CH15" s="61"/>
      <c r="CI15" s="24">
        <v>205.4</v>
      </c>
      <c r="CJ15" s="24">
        <v>245</v>
      </c>
      <c r="CK15" s="99">
        <v>232.4</v>
      </c>
      <c r="CL15" s="94">
        <v>262.2</v>
      </c>
      <c r="CM15" s="60">
        <f>SUM(CI15:CL15)</f>
        <v>945</v>
      </c>
    </row>
    <row r="16" spans="1:221" s="37" customFormat="1" ht="18.75" customHeight="1" x14ac:dyDescent="0.2">
      <c r="A16" s="37" t="s">
        <v>80</v>
      </c>
      <c r="C16" s="64">
        <f>+C13-C6+C15</f>
        <v>240.1342281879194</v>
      </c>
      <c r="D16" s="64">
        <f>+D13-D6+D15</f>
        <v>290.46979865771817</v>
      </c>
      <c r="E16" s="64">
        <f>+E13-E6+E15</f>
        <v>278.79194630872485</v>
      </c>
      <c r="F16" s="64">
        <f>+F13-F6+F15</f>
        <v>288.5906040268456</v>
      </c>
      <c r="G16" s="65">
        <f>+G13-G6+G15</f>
        <v>1097.9865771812081</v>
      </c>
      <c r="H16" s="64"/>
      <c r="I16" s="64">
        <f>+I13-I6+I15</f>
        <v>288.45637583892619</v>
      </c>
      <c r="J16" s="64">
        <f>+J13-J6+J15</f>
        <v>316.510067114094</v>
      </c>
      <c r="K16" s="64">
        <f>+K13-K6+K15</f>
        <v>292.34899328859058</v>
      </c>
      <c r="L16" s="64">
        <f>+L13-L6+L15</f>
        <v>310.73825503355704</v>
      </c>
      <c r="M16" s="65">
        <f>+M13-M6+M15</f>
        <v>1208.0536912751677</v>
      </c>
      <c r="N16" s="64"/>
      <c r="O16" s="64">
        <f>+O13-O6+O15</f>
        <v>340.80536912751683</v>
      </c>
      <c r="P16" s="64">
        <f>+P13-P6+P15</f>
        <v>385.1006711409396</v>
      </c>
      <c r="Q16" s="64">
        <f>+Q13-Q6+Q15</f>
        <v>351.54362416107381</v>
      </c>
      <c r="R16" s="64">
        <f>+R13-R6+R15</f>
        <v>371.94630872483225</v>
      </c>
      <c r="S16" s="65">
        <f>+S13-S6+S15</f>
        <v>1449.3959731543625</v>
      </c>
      <c r="T16" s="64"/>
      <c r="U16" s="64">
        <f>+U13-U6+U15</f>
        <v>362.28187919463085</v>
      </c>
      <c r="V16" s="64">
        <f>+V13-V6+V15</f>
        <v>413.55704697986573</v>
      </c>
      <c r="W16" s="64">
        <f>+W13-W6+W15</f>
        <v>377.7181208053691</v>
      </c>
      <c r="X16" s="64">
        <f>+X13-X6+X15</f>
        <v>359.59731543624162</v>
      </c>
      <c r="Y16" s="65">
        <f>+U16+V16+W16+X16</f>
        <v>1513.1543624161072</v>
      </c>
      <c r="Z16" s="64"/>
      <c r="AA16" s="64">
        <f>+AA13-AA6+AA15</f>
        <v>314.49664429530202</v>
      </c>
      <c r="AB16" s="64">
        <f>+AB13-AB6+AB15</f>
        <v>361.20805369127515</v>
      </c>
      <c r="AC16" s="64">
        <f>+AC13-AC6+AC15</f>
        <v>330.60402684563758</v>
      </c>
      <c r="AD16" s="100">
        <f>+AD13-AD6+AD15</f>
        <v>329.26174496644296</v>
      </c>
      <c r="AE16" s="65">
        <f>+AA16+AB16+AC16+AD16</f>
        <v>1335.5704697986578</v>
      </c>
      <c r="AF16" s="64"/>
      <c r="AG16" s="64">
        <f>+AG13-AG6+AG15</f>
        <v>334.76510067114094</v>
      </c>
      <c r="AH16" s="64">
        <f>+AH13-AH6+AH15</f>
        <v>396.37583892617448</v>
      </c>
      <c r="AI16" s="64">
        <f>+AI13-AI6+AI15</f>
        <v>395.03355704697987</v>
      </c>
      <c r="AJ16" s="100">
        <f>+AJ13-AJ6+AJ15</f>
        <v>414.49664429530202</v>
      </c>
      <c r="AK16" s="65">
        <f>+AG16+AH16+AI16+AJ16</f>
        <v>1540.6711409395973</v>
      </c>
      <c r="AL16" s="64"/>
      <c r="AM16" s="64">
        <f>+AM13-AM6+AM15</f>
        <v>384.29530201342283</v>
      </c>
      <c r="AN16" s="64">
        <f>+AN13-AN6+AN15</f>
        <v>413.02013422818794</v>
      </c>
      <c r="AO16" s="64">
        <f>+AO13-AO6+AO15</f>
        <v>406.30872483221481</v>
      </c>
      <c r="AP16" s="100">
        <f>+AP13-AP6+AP15</f>
        <v>427.3825503355705</v>
      </c>
      <c r="AQ16" s="65">
        <f>+AM16+AN16+AO16+AP16</f>
        <v>1631.0067114093963</v>
      </c>
      <c r="AR16" s="64"/>
      <c r="AS16" s="64">
        <f>+AS13-AS6+AS15</f>
        <v>376.64429530201346</v>
      </c>
      <c r="AT16" s="64">
        <f>+AT13-AT6+AT15</f>
        <v>413.28859060402692</v>
      </c>
      <c r="AU16" s="64">
        <f>+AU13-AU6+AU15</f>
        <v>407.51677852348996</v>
      </c>
      <c r="AV16" s="100">
        <f>+AV13-AV6+AV15</f>
        <v>433.15436241610735</v>
      </c>
      <c r="AW16" s="65">
        <f>+AS16+AT16+AU16+AV16</f>
        <v>1630.6040268456377</v>
      </c>
      <c r="AX16" s="64"/>
      <c r="AY16" s="64">
        <f>+AY13-AY6+AY15</f>
        <v>383.75838926174492</v>
      </c>
      <c r="AZ16" s="64">
        <f>+AZ13-AZ6+AZ15</f>
        <v>438.12080536912748</v>
      </c>
      <c r="BA16" s="64">
        <f>+BA13-BA6+BA15</f>
        <v>440.53691275167785</v>
      </c>
      <c r="BB16" s="64">
        <f>+BB13-BB6+BB15</f>
        <v>461.47651006711408</v>
      </c>
      <c r="BC16" s="65">
        <f>+AY16+AZ16+BA16+BB16</f>
        <v>1723.8926174496644</v>
      </c>
      <c r="BD16" s="64"/>
      <c r="BE16" s="64">
        <f>+BE13-BE6+BE15</f>
        <v>426.71140939597319</v>
      </c>
      <c r="BF16" s="64">
        <f>+BF13-BF6+BF15</f>
        <v>447.91946308724835</v>
      </c>
      <c r="BG16" s="64">
        <f>+BG13-BG6+BG15</f>
        <v>440.40268456375838</v>
      </c>
      <c r="BH16" s="64">
        <f>+BH13-BH6+BH15</f>
        <v>454.09395973154358</v>
      </c>
      <c r="BI16" s="65">
        <f>+BE16+BF16+BG16+BH16</f>
        <v>1769.1275167785234</v>
      </c>
      <c r="BJ16" s="64"/>
      <c r="BK16" s="64">
        <f>+BK13-BK6+BK15</f>
        <v>466.44295302013421</v>
      </c>
      <c r="BL16" s="64">
        <f>+BL13-BL6+BL15</f>
        <v>494.49664429530196</v>
      </c>
      <c r="BM16" s="64">
        <f>+BM13-BM6+BM15</f>
        <v>438.65771812080538</v>
      </c>
      <c r="BN16" s="64">
        <f>+BN13-BN6+BN15</f>
        <v>469.6</v>
      </c>
      <c r="BO16" s="65">
        <f>+BK16+BL16+BM16+BN16</f>
        <v>1869.1973154362418</v>
      </c>
      <c r="BP16" s="64"/>
      <c r="BQ16" s="64">
        <f>+BQ13-BQ6+BQ15</f>
        <v>425.9</v>
      </c>
      <c r="BR16" s="64">
        <f>+BR13-BR6+BR15</f>
        <v>485.49999999999989</v>
      </c>
      <c r="BS16" s="64">
        <f>+BS13-BS6+BS15</f>
        <v>457.40000000000003</v>
      </c>
      <c r="BT16" s="64">
        <f>+BT13-BT6+BT15</f>
        <v>482.49999999999994</v>
      </c>
      <c r="BU16" s="65">
        <f>+BQ16+BR16+BS16+BT16</f>
        <v>1851.3</v>
      </c>
      <c r="BV16" s="64"/>
      <c r="BW16" s="64">
        <f>+BW13-BW6+BW15</f>
        <v>461.69999999999993</v>
      </c>
      <c r="BX16" s="64">
        <f>+BX13-BX6+BX15</f>
        <v>579.29999999999995</v>
      </c>
      <c r="BY16" s="64">
        <f>+BY13-BY6+BY15</f>
        <v>567.09999999999991</v>
      </c>
      <c r="BZ16" s="64">
        <f>+BZ13-BZ6+BZ15</f>
        <v>302</v>
      </c>
      <c r="CA16" s="65">
        <f>+CA13-CA6+CA15</f>
        <v>1108.4000000000001</v>
      </c>
      <c r="CB16" s="64"/>
      <c r="CC16" s="64">
        <f>+CC13-CC6+CC15</f>
        <v>266.89999999999998</v>
      </c>
      <c r="CD16" s="64">
        <f>+CD15+CD10</f>
        <v>324</v>
      </c>
      <c r="CE16" s="64">
        <f>+CE13-CE6+CE15-0.06</f>
        <v>301.64</v>
      </c>
      <c r="CF16" s="64">
        <f>+CF13-CF6+CF15</f>
        <v>254.59999999999997</v>
      </c>
      <c r="CG16" s="65">
        <f>SUM(CC16:CF16)</f>
        <v>1147.1399999999999</v>
      </c>
      <c r="CH16" s="64"/>
      <c r="CI16" s="64">
        <f>+CI13-CI6+CI15</f>
        <v>219.9</v>
      </c>
      <c r="CJ16" s="64">
        <f>+CJ13-CJ6+CJ15</f>
        <v>262.59999999999997</v>
      </c>
      <c r="CK16" s="64">
        <f>+CK13-CK6+CK15</f>
        <v>249.1</v>
      </c>
      <c r="CL16" s="64">
        <f>+CL13-CL6+CL15</f>
        <v>287.59999999999997</v>
      </c>
      <c r="CM16" s="65">
        <f>SUM(CI16:CL16)</f>
        <v>1019.2</v>
      </c>
      <c r="HM16" s="38" t="s">
        <v>47</v>
      </c>
    </row>
    <row r="17" spans="1:91" s="49" customFormat="1" ht="18.75" customHeight="1" x14ac:dyDescent="0.2">
      <c r="C17" s="97"/>
      <c r="D17" s="97"/>
      <c r="E17" s="97"/>
      <c r="F17" s="97"/>
      <c r="G17" s="98"/>
      <c r="H17" s="97"/>
      <c r="I17" s="97"/>
      <c r="J17" s="97"/>
      <c r="K17" s="97"/>
      <c r="L17" s="97"/>
      <c r="M17" s="98"/>
      <c r="N17" s="97"/>
      <c r="O17" s="97"/>
      <c r="P17" s="97"/>
      <c r="Q17" s="97"/>
      <c r="R17" s="97"/>
      <c r="S17" s="98"/>
      <c r="T17" s="97"/>
      <c r="U17" s="97"/>
      <c r="V17" s="97"/>
      <c r="W17" s="97"/>
      <c r="X17" s="97"/>
      <c r="Y17" s="98"/>
      <c r="Z17" s="97"/>
      <c r="AA17" s="97"/>
      <c r="AB17" s="97"/>
      <c r="AC17" s="97"/>
      <c r="AD17" s="101"/>
      <c r="AE17" s="98"/>
      <c r="AF17" s="97"/>
      <c r="AG17" s="97"/>
      <c r="AH17" s="97"/>
      <c r="AI17" s="97"/>
      <c r="AJ17" s="101"/>
      <c r="AK17" s="98"/>
      <c r="AL17" s="97"/>
      <c r="AM17" s="97"/>
      <c r="AN17" s="97"/>
      <c r="AO17" s="97"/>
      <c r="AP17" s="101"/>
      <c r="AQ17" s="98"/>
      <c r="AR17" s="97"/>
      <c r="AS17" s="97"/>
      <c r="AT17" s="97"/>
      <c r="AU17" s="97"/>
      <c r="AV17" s="101"/>
      <c r="AW17" s="98"/>
      <c r="AX17" s="97"/>
      <c r="AY17" s="97"/>
      <c r="AZ17" s="97"/>
      <c r="BA17" s="97"/>
      <c r="BB17" s="101"/>
      <c r="BC17" s="98"/>
      <c r="BD17" s="97"/>
      <c r="BE17" s="97"/>
      <c r="BF17" s="97"/>
      <c r="BG17" s="97"/>
      <c r="BH17" s="101"/>
      <c r="BI17" s="98"/>
      <c r="BJ17" s="97"/>
      <c r="BK17" s="97"/>
      <c r="BL17" s="97"/>
      <c r="BM17" s="97"/>
      <c r="BN17" s="101"/>
      <c r="BO17" s="98"/>
      <c r="BP17" s="97"/>
      <c r="BQ17" s="97"/>
      <c r="BR17" s="97"/>
      <c r="BS17" s="97"/>
      <c r="BT17" s="101"/>
      <c r="BU17" s="98"/>
      <c r="BV17" s="97"/>
      <c r="BW17" s="97"/>
      <c r="BX17" s="97"/>
      <c r="BY17" s="97"/>
      <c r="BZ17" s="101"/>
      <c r="CA17" s="98"/>
      <c r="CB17" s="97"/>
      <c r="CC17" s="97"/>
      <c r="CD17" s="97"/>
      <c r="CE17" s="97"/>
      <c r="CF17" s="101"/>
      <c r="CG17" s="98"/>
      <c r="CH17" s="97"/>
      <c r="CI17" s="97"/>
      <c r="CJ17" s="97"/>
      <c r="CK17" s="97"/>
      <c r="CL17" s="101"/>
      <c r="CM17" s="98"/>
    </row>
    <row r="18" spans="1:91" x14ac:dyDescent="0.2">
      <c r="A18" s="1" t="s">
        <v>83</v>
      </c>
      <c r="C18" s="24"/>
      <c r="D18" s="24"/>
      <c r="E18" s="24"/>
      <c r="F18" s="24"/>
      <c r="G18" s="60"/>
      <c r="H18" s="24"/>
      <c r="I18" s="24"/>
      <c r="J18" s="24"/>
      <c r="K18" s="24"/>
      <c r="L18" s="24"/>
      <c r="M18" s="60"/>
      <c r="N18" s="24"/>
      <c r="O18" s="24"/>
      <c r="P18" s="24"/>
      <c r="Q18" s="24"/>
      <c r="R18" s="24"/>
      <c r="S18" s="60"/>
      <c r="T18" s="24"/>
      <c r="U18" s="24"/>
      <c r="V18" s="24"/>
      <c r="W18" s="24"/>
      <c r="X18" s="24"/>
      <c r="Y18" s="60"/>
      <c r="Z18" s="24"/>
      <c r="AA18" s="24"/>
      <c r="AB18" s="24"/>
      <c r="AC18" s="24"/>
      <c r="AD18" s="94"/>
      <c r="AE18" s="60"/>
      <c r="AF18" s="24"/>
      <c r="AG18" s="24"/>
      <c r="AH18" s="24"/>
      <c r="AI18" s="24"/>
      <c r="AJ18" s="94"/>
      <c r="AK18" s="60"/>
      <c r="AL18" s="24"/>
      <c r="AM18" s="24"/>
      <c r="AN18" s="24"/>
      <c r="AO18" s="24"/>
      <c r="AP18" s="94"/>
      <c r="AQ18" s="60"/>
      <c r="AR18" s="24"/>
      <c r="AS18" s="24"/>
      <c r="AT18" s="24"/>
      <c r="AU18" s="24"/>
      <c r="AV18" s="94"/>
      <c r="AW18" s="60"/>
      <c r="AX18" s="24"/>
      <c r="AY18" s="24"/>
      <c r="AZ18" s="24"/>
      <c r="BA18" s="24"/>
      <c r="BB18" s="94"/>
      <c r="BC18" s="60"/>
      <c r="BD18" s="24"/>
      <c r="BE18" s="24"/>
      <c r="BF18" s="24"/>
      <c r="BG18" s="24"/>
      <c r="BH18" s="94"/>
      <c r="BI18" s="60"/>
      <c r="BJ18" s="24"/>
      <c r="BK18" s="24"/>
      <c r="BL18" s="24"/>
      <c r="BM18" s="24"/>
      <c r="BN18" s="94"/>
      <c r="BO18" s="60"/>
      <c r="BP18" s="24"/>
      <c r="BQ18" s="24"/>
      <c r="BR18" s="24"/>
      <c r="BS18" s="24"/>
      <c r="BT18" s="94"/>
      <c r="BU18" s="60"/>
      <c r="BV18" s="24"/>
      <c r="BW18" s="24"/>
      <c r="BX18" s="24"/>
      <c r="BY18" s="24"/>
      <c r="BZ18" s="94"/>
      <c r="CA18" s="60"/>
      <c r="CB18" s="24"/>
      <c r="CC18" s="24"/>
      <c r="CD18" s="24"/>
      <c r="CE18" s="24"/>
      <c r="CF18" s="94"/>
      <c r="CG18" s="60"/>
      <c r="CH18" s="24"/>
      <c r="CI18" s="24"/>
      <c r="CJ18" s="24"/>
      <c r="CK18" s="24"/>
      <c r="CL18" s="94"/>
      <c r="CM18" s="60"/>
    </row>
    <row r="19" spans="1:91" x14ac:dyDescent="0.2">
      <c r="A19" s="2" t="s">
        <v>141</v>
      </c>
      <c r="C19" s="24"/>
      <c r="D19" s="24"/>
      <c r="E19" s="24"/>
      <c r="F19" s="24"/>
      <c r="G19" s="60"/>
      <c r="H19" s="24"/>
      <c r="I19" s="24"/>
      <c r="J19" s="24"/>
      <c r="K19" s="24"/>
      <c r="L19" s="24"/>
      <c r="M19" s="60"/>
      <c r="N19" s="24"/>
      <c r="O19" s="24"/>
      <c r="P19" s="24"/>
      <c r="Q19" s="24"/>
      <c r="R19" s="24"/>
      <c r="S19" s="60"/>
      <c r="T19" s="24"/>
      <c r="U19" s="24"/>
      <c r="V19" s="24"/>
      <c r="W19" s="24"/>
      <c r="X19" s="24"/>
      <c r="Y19" s="60"/>
      <c r="Z19" s="24"/>
      <c r="AA19" s="24"/>
      <c r="AB19" s="24"/>
      <c r="AC19" s="24"/>
      <c r="AD19" s="94"/>
      <c r="AE19" s="60"/>
      <c r="AF19" s="24"/>
      <c r="AG19" s="24">
        <v>7.9194630872483218</v>
      </c>
      <c r="AH19" s="24">
        <v>11.006711409395972</v>
      </c>
      <c r="AI19" s="24">
        <v>19.060402684563758</v>
      </c>
      <c r="AJ19" s="94">
        <v>6.174496644295302</v>
      </c>
      <c r="AK19" s="60">
        <f>SUM(AG19:AJ19)</f>
        <v>44.161073825503351</v>
      </c>
      <c r="AL19" s="24"/>
      <c r="AM19" s="24">
        <v>3.7583892617449663</v>
      </c>
      <c r="AN19" s="24">
        <v>1.2080536912751678</v>
      </c>
      <c r="AO19" s="24">
        <v>9.6644295302013425</v>
      </c>
      <c r="AP19" s="94">
        <v>9.7986577181208059</v>
      </c>
      <c r="AQ19" s="60">
        <f>SUM(AM19:AP19)</f>
        <v>24.429530201342281</v>
      </c>
      <c r="AR19" s="24"/>
      <c r="AS19" s="24">
        <v>5.3691275167785237</v>
      </c>
      <c r="AT19" s="24">
        <v>6.0402684563758386</v>
      </c>
      <c r="AU19" s="24">
        <v>13.691275167785234</v>
      </c>
      <c r="AV19" s="94">
        <v>13.825503355704697</v>
      </c>
      <c r="AW19" s="60">
        <f>SUM(AS19:AV19)</f>
        <v>38.926174496644293</v>
      </c>
      <c r="AX19" s="24"/>
      <c r="AY19" s="24">
        <v>5.7718120805369129</v>
      </c>
      <c r="AZ19" s="24">
        <v>9.3959731543624159</v>
      </c>
      <c r="BA19" s="24">
        <v>13.825503355704697</v>
      </c>
      <c r="BB19" s="94">
        <v>15.973154362416107</v>
      </c>
      <c r="BC19" s="60">
        <f>SUM(AY19:BB19)</f>
        <v>44.966442953020135</v>
      </c>
      <c r="BD19" s="24"/>
      <c r="BE19" s="24">
        <v>6.5771812080536911</v>
      </c>
      <c r="BF19" s="24">
        <v>15.436241610738255</v>
      </c>
      <c r="BG19" s="24">
        <v>18.120805369127517</v>
      </c>
      <c r="BH19" s="94">
        <v>24.832214765100669</v>
      </c>
      <c r="BI19" s="60">
        <f>SUM(BE19:BH19)</f>
        <v>64.966442953020135</v>
      </c>
      <c r="BJ19" s="24"/>
      <c r="BK19" s="24">
        <v>14.496644295302014</v>
      </c>
      <c r="BL19" s="24">
        <v>32.617449664429529</v>
      </c>
      <c r="BM19" s="24">
        <v>14.630872483221475</v>
      </c>
      <c r="BN19" s="94">
        <v>15.3</v>
      </c>
      <c r="BO19" s="60">
        <f>SUM(BK19:BN19)</f>
        <v>77.044966442953012</v>
      </c>
      <c r="BP19" s="24"/>
      <c r="BQ19" s="24">
        <v>12.1</v>
      </c>
      <c r="BR19" s="24">
        <v>21.5</v>
      </c>
      <c r="BS19" s="24">
        <v>20.5</v>
      </c>
      <c r="BT19" s="94">
        <v>18.399999999999999</v>
      </c>
      <c r="BU19" s="60">
        <f>SUM(BQ19:BT19)</f>
        <v>72.5</v>
      </c>
      <c r="BV19" s="24"/>
      <c r="BW19" s="24">
        <v>17.8</v>
      </c>
      <c r="BX19" s="24">
        <v>42.9</v>
      </c>
      <c r="BY19" s="24">
        <v>43.8</v>
      </c>
      <c r="BZ19" s="94">
        <f>143-4.7-104.5</f>
        <v>33.800000000000011</v>
      </c>
      <c r="CA19" s="60">
        <f>SUM(BW19:BZ19)</f>
        <v>138.30000000000001</v>
      </c>
      <c r="CB19" s="24"/>
      <c r="CC19" s="24">
        <v>20.399999999999999</v>
      </c>
      <c r="CD19" s="24">
        <v>32.1</v>
      </c>
      <c r="CE19" s="24">
        <v>26.1</v>
      </c>
      <c r="CF19" s="94">
        <f>70.2-78.6</f>
        <v>-8.3999999999999915</v>
      </c>
      <c r="CG19" s="60">
        <f>SUM(CC19:CF19)</f>
        <v>70.2</v>
      </c>
      <c r="CH19" s="24"/>
      <c r="CI19" s="24">
        <v>-2.4</v>
      </c>
      <c r="CJ19" s="24">
        <v>9.4</v>
      </c>
      <c r="CK19" s="24">
        <v>6.9</v>
      </c>
      <c r="CL19" s="94">
        <v>1.2</v>
      </c>
      <c r="CM19" s="60">
        <f>SUM(CI19:CL19)</f>
        <v>15.1</v>
      </c>
    </row>
    <row r="20" spans="1:91" x14ac:dyDescent="0.2">
      <c r="A20" s="2" t="s">
        <v>160</v>
      </c>
      <c r="C20" s="24"/>
      <c r="D20" s="24"/>
      <c r="E20" s="24"/>
      <c r="F20" s="24"/>
      <c r="G20" s="60"/>
      <c r="H20" s="24"/>
      <c r="I20" s="24"/>
      <c r="J20" s="24"/>
      <c r="K20" s="24"/>
      <c r="L20" s="24"/>
      <c r="M20" s="60"/>
      <c r="N20" s="24"/>
      <c r="O20" s="24"/>
      <c r="P20" s="24"/>
      <c r="Q20" s="24"/>
      <c r="R20" s="24"/>
      <c r="S20" s="60"/>
      <c r="T20" s="24"/>
      <c r="U20" s="24"/>
      <c r="V20" s="24"/>
      <c r="W20" s="24"/>
      <c r="X20" s="24"/>
      <c r="Y20" s="60"/>
      <c r="Z20" s="24"/>
      <c r="AA20" s="24"/>
      <c r="AB20" s="24"/>
      <c r="AC20" s="24"/>
      <c r="AD20" s="94"/>
      <c r="AE20" s="60"/>
      <c r="AF20" s="24"/>
      <c r="AG20" s="24">
        <v>23.087248322147651</v>
      </c>
      <c r="AH20" s="24">
        <v>25.503355704697984</v>
      </c>
      <c r="AI20" s="24">
        <v>17.449664429530202</v>
      </c>
      <c r="AJ20" s="94">
        <v>16.107382550335569</v>
      </c>
      <c r="AK20" s="60">
        <f>SUM(AG20:AJ20)</f>
        <v>82.147651006711413</v>
      </c>
      <c r="AL20" s="24"/>
      <c r="AM20" s="24">
        <v>24.29530201342282</v>
      </c>
      <c r="AN20" s="24">
        <v>26.845637583892618</v>
      </c>
      <c r="AO20" s="24">
        <v>21.610738255033556</v>
      </c>
      <c r="AP20" s="94">
        <v>25.503355704697984</v>
      </c>
      <c r="AQ20" s="60">
        <f>SUM(AM20:AP20)</f>
        <v>98.255033557046971</v>
      </c>
      <c r="AR20" s="24"/>
      <c r="AS20" s="24">
        <v>26.308724832214764</v>
      </c>
      <c r="AT20" s="24">
        <v>27.919463087248321</v>
      </c>
      <c r="AU20" s="24">
        <v>21.208053691275168</v>
      </c>
      <c r="AV20" s="94">
        <v>28.590604026845636</v>
      </c>
      <c r="AW20" s="60">
        <f>SUM(AS20:AV20)</f>
        <v>104.02684563758389</v>
      </c>
      <c r="AX20" s="24"/>
      <c r="AY20" s="24">
        <v>25.234899328859061</v>
      </c>
      <c r="AZ20" s="24">
        <v>30.067114093959731</v>
      </c>
      <c r="BA20" s="24">
        <v>20.939597315436242</v>
      </c>
      <c r="BB20" s="94">
        <v>28.187919463087248</v>
      </c>
      <c r="BC20" s="60">
        <f>SUM(AY20:BB20)</f>
        <v>104.42953020134229</v>
      </c>
      <c r="BD20" s="24"/>
      <c r="BE20" s="24">
        <v>28.590604026845636</v>
      </c>
      <c r="BF20" s="24">
        <v>29.261744966442951</v>
      </c>
      <c r="BG20" s="24">
        <v>18.926174496644293</v>
      </c>
      <c r="BH20" s="94">
        <v>30.469798657718119</v>
      </c>
      <c r="BI20" s="60">
        <f>SUM(BE20:BH20)</f>
        <v>107.248322147651</v>
      </c>
      <c r="BJ20" s="24"/>
      <c r="BK20" s="24">
        <v>24.429530201342281</v>
      </c>
      <c r="BL20" s="24">
        <v>28.724832214765101</v>
      </c>
      <c r="BM20" s="24">
        <v>21.476510067114095</v>
      </c>
      <c r="BN20" s="94">
        <v>23.3</v>
      </c>
      <c r="BO20" s="60">
        <f>SUM(BK20:BN20)</f>
        <v>97.930872483221478</v>
      </c>
      <c r="BP20" s="24"/>
      <c r="BQ20" s="24">
        <v>27.201000000000001</v>
      </c>
      <c r="BR20" s="24">
        <v>32.5</v>
      </c>
      <c r="BS20" s="24">
        <v>26.6</v>
      </c>
      <c r="BT20" s="94">
        <v>30.5</v>
      </c>
      <c r="BU20" s="60">
        <f>SUM(BQ20:BT20)</f>
        <v>116.801</v>
      </c>
      <c r="BV20" s="24"/>
      <c r="BW20" s="24">
        <v>35.1</v>
      </c>
      <c r="BX20" s="24">
        <v>35.9</v>
      </c>
      <c r="BY20" s="24">
        <v>22.4</v>
      </c>
      <c r="BZ20" s="94"/>
      <c r="CA20" s="60"/>
      <c r="CB20" s="24"/>
      <c r="CC20" s="24"/>
      <c r="CD20" s="24"/>
      <c r="CE20" s="24"/>
      <c r="CF20" s="94"/>
      <c r="CG20" s="60"/>
      <c r="CH20" s="24"/>
      <c r="CI20" s="24"/>
      <c r="CJ20" s="24"/>
      <c r="CK20" s="24"/>
      <c r="CL20" s="94"/>
      <c r="CM20" s="60"/>
    </row>
    <row r="21" spans="1:91" x14ac:dyDescent="0.2">
      <c r="A21" s="2" t="s">
        <v>74</v>
      </c>
      <c r="C21" s="24"/>
      <c r="D21" s="24"/>
      <c r="E21" s="24"/>
      <c r="F21" s="24"/>
      <c r="G21" s="60"/>
      <c r="H21" s="24"/>
      <c r="I21" s="24"/>
      <c r="J21" s="24"/>
      <c r="K21" s="24"/>
      <c r="L21" s="24"/>
      <c r="M21" s="60"/>
      <c r="N21" s="24"/>
      <c r="O21" s="24"/>
      <c r="P21" s="24"/>
      <c r="Q21" s="24"/>
      <c r="R21" s="24"/>
      <c r="S21" s="60"/>
      <c r="T21" s="24"/>
      <c r="U21" s="24"/>
      <c r="V21" s="24"/>
      <c r="W21" s="24"/>
      <c r="X21" s="24"/>
      <c r="Y21" s="60"/>
      <c r="Z21" s="24"/>
      <c r="AA21" s="24"/>
      <c r="AB21" s="24"/>
      <c r="AC21" s="24"/>
      <c r="AD21" s="94"/>
      <c r="AE21" s="60"/>
      <c r="AF21" s="24"/>
      <c r="AG21" s="24">
        <v>2.2818791946308723</v>
      </c>
      <c r="AH21" s="24">
        <v>3.087248322147651</v>
      </c>
      <c r="AI21" s="24">
        <v>2.2818791946308723</v>
      </c>
      <c r="AJ21" s="94">
        <v>4.4295302013422821</v>
      </c>
      <c r="AK21" s="60">
        <f>SUM(AG21:AJ21)</f>
        <v>12.080536912751677</v>
      </c>
      <c r="AL21" s="24"/>
      <c r="AM21" s="24">
        <v>3.7583892617449663</v>
      </c>
      <c r="AN21" s="24">
        <v>2.8187919463087248</v>
      </c>
      <c r="AO21" s="24">
        <v>11.946308724832214</v>
      </c>
      <c r="AP21" s="94">
        <v>2.6845637583892619</v>
      </c>
      <c r="AQ21" s="60">
        <f>SUM(AM21:AP21)</f>
        <v>21.208053691275168</v>
      </c>
      <c r="AR21" s="24"/>
      <c r="AS21" s="24"/>
      <c r="AT21" s="24"/>
      <c r="AU21" s="24"/>
      <c r="AV21" s="94"/>
      <c r="AW21" s="60">
        <f>SUM(AS21:AV21)</f>
        <v>0</v>
      </c>
      <c r="AX21" s="24"/>
      <c r="AY21" s="24"/>
      <c r="AZ21" s="24"/>
      <c r="BA21" s="24"/>
      <c r="BB21" s="94"/>
      <c r="BC21" s="60">
        <f>SUM(AY21:BB21)</f>
        <v>0</v>
      </c>
      <c r="BD21" s="24"/>
      <c r="BE21" s="24"/>
      <c r="BF21" s="24"/>
      <c r="BG21" s="24"/>
      <c r="BH21" s="94"/>
      <c r="BI21" s="60">
        <f>SUM(BE21:BH21)</f>
        <v>0</v>
      </c>
      <c r="BJ21" s="24"/>
      <c r="BK21" s="24"/>
      <c r="BL21" s="24"/>
      <c r="BM21" s="24"/>
      <c r="BN21" s="94"/>
      <c r="BO21" s="60">
        <f>SUM(BK21:BN21)</f>
        <v>0</v>
      </c>
      <c r="BP21" s="24"/>
      <c r="BQ21" s="24"/>
      <c r="BR21" s="24"/>
      <c r="BS21" s="24"/>
      <c r="BT21" s="94"/>
      <c r="BU21" s="60">
        <f>SUM(BQ21:BT21)</f>
        <v>0</v>
      </c>
      <c r="BV21" s="24"/>
      <c r="BW21" s="24"/>
      <c r="BX21" s="24"/>
      <c r="BY21" s="24"/>
      <c r="BZ21" s="94"/>
      <c r="CA21" s="60">
        <f>SUM(BW21:BZ21)</f>
        <v>0</v>
      </c>
      <c r="CB21" s="24"/>
      <c r="CC21" s="24"/>
      <c r="CD21" s="24"/>
      <c r="CE21" s="24"/>
      <c r="CF21" s="94"/>
      <c r="CG21" s="60">
        <f>SUM(CC21:CF21)</f>
        <v>0</v>
      </c>
      <c r="CH21" s="24"/>
      <c r="CI21" s="24"/>
      <c r="CJ21" s="24"/>
      <c r="CK21" s="24"/>
      <c r="CL21" s="94"/>
      <c r="CM21" s="60">
        <f>SUM(CI21:CL21)</f>
        <v>0</v>
      </c>
    </row>
    <row r="22" spans="1:91" x14ac:dyDescent="0.2">
      <c r="A22" s="2" t="s">
        <v>140</v>
      </c>
      <c r="C22" s="24"/>
      <c r="D22" s="24"/>
      <c r="E22" s="24"/>
      <c r="F22" s="24"/>
      <c r="G22" s="60"/>
      <c r="H22" s="24"/>
      <c r="I22" s="24"/>
      <c r="J22" s="24"/>
      <c r="K22" s="24"/>
      <c r="L22" s="24"/>
      <c r="M22" s="60"/>
      <c r="N22" s="24"/>
      <c r="O22" s="24"/>
      <c r="P22" s="24"/>
      <c r="Q22" s="24"/>
      <c r="R22" s="24"/>
      <c r="S22" s="60"/>
      <c r="T22" s="24"/>
      <c r="U22" s="24"/>
      <c r="V22" s="24"/>
      <c r="W22" s="24"/>
      <c r="X22" s="24"/>
      <c r="Y22" s="60"/>
      <c r="Z22" s="24"/>
      <c r="AA22" s="24"/>
      <c r="AB22" s="24"/>
      <c r="AC22" s="24"/>
      <c r="AD22" s="94"/>
      <c r="AE22" s="60"/>
      <c r="AF22" s="24"/>
      <c r="AG22" s="24">
        <v>-0.80536912751677847</v>
      </c>
      <c r="AH22" s="24">
        <v>-0.67114093959731547</v>
      </c>
      <c r="AI22" s="24">
        <v>-0.26845637583892618</v>
      </c>
      <c r="AJ22" s="94">
        <v>0.26845637583892618</v>
      </c>
      <c r="AK22" s="60">
        <f>SUM(AG22:AJ22)</f>
        <v>-1.476510067114094</v>
      </c>
      <c r="AL22" s="24"/>
      <c r="AM22" s="24">
        <v>-1.0738255033557047</v>
      </c>
      <c r="AN22" s="24">
        <v>-0.13422818791946309</v>
      </c>
      <c r="AO22" s="24">
        <v>0.40268456375838924</v>
      </c>
      <c r="AP22" s="94">
        <v>0.93959731543624159</v>
      </c>
      <c r="AQ22" s="60">
        <f>SUM(AM22:AP22)</f>
        <v>0.134228187919463</v>
      </c>
      <c r="AR22" s="24"/>
      <c r="AS22" s="24">
        <v>-0.13422818791946309</v>
      </c>
      <c r="AT22" s="24">
        <v>-0.53691275167785235</v>
      </c>
      <c r="AU22" s="24">
        <v>-0.13422818791946309</v>
      </c>
      <c r="AV22" s="94">
        <v>2.0134228187919461</v>
      </c>
      <c r="AW22" s="60">
        <f>SUM(AS22:AV22)</f>
        <v>1.2080536912751674</v>
      </c>
      <c r="AX22" s="24"/>
      <c r="AY22" s="24">
        <v>-0.67114093959731547</v>
      </c>
      <c r="AZ22" s="24">
        <v>-0.13422818791946309</v>
      </c>
      <c r="BA22" s="24">
        <v>0.26845637583892618</v>
      </c>
      <c r="BB22" s="94">
        <v>1.3422818791946309</v>
      </c>
      <c r="BC22" s="60">
        <f>SUM(AY22:BB22)</f>
        <v>0.80536912751677847</v>
      </c>
      <c r="BD22" s="24"/>
      <c r="BE22" s="24">
        <v>0</v>
      </c>
      <c r="BF22" s="24">
        <v>-0.26845637583892618</v>
      </c>
      <c r="BG22" s="24">
        <v>0.13422818791946309</v>
      </c>
      <c r="BH22" s="94">
        <v>2.9530201342281877</v>
      </c>
      <c r="BI22" s="60">
        <f>SUM(BE22:BH22)</f>
        <v>2.8187919463087248</v>
      </c>
      <c r="BJ22" s="24"/>
      <c r="BK22" s="24">
        <v>-0.13422818791946309</v>
      </c>
      <c r="BL22" s="24">
        <v>-1.0738255033557047</v>
      </c>
      <c r="BM22" s="24">
        <v>1.8791946308724832</v>
      </c>
      <c r="BN22" s="94">
        <v>3</v>
      </c>
      <c r="BO22" s="60">
        <f>SUM(BK22:BN22)</f>
        <v>3.6711409395973154</v>
      </c>
      <c r="BP22" s="24"/>
      <c r="BQ22" s="24">
        <v>-0.3</v>
      </c>
      <c r="BR22" s="24">
        <v>-0.3</v>
      </c>
      <c r="BS22" s="24">
        <v>0.9</v>
      </c>
      <c r="BT22" s="94">
        <v>6</v>
      </c>
      <c r="BU22" s="60">
        <f>SUM(BQ22:BT22)</f>
        <v>6.3</v>
      </c>
      <c r="BV22" s="24"/>
      <c r="BW22" s="24">
        <v>-2.1</v>
      </c>
      <c r="BX22" s="24">
        <v>0.7</v>
      </c>
      <c r="BY22" s="24">
        <v>-0.8</v>
      </c>
      <c r="BZ22" s="94">
        <f>3.5+2.2</f>
        <v>5.7</v>
      </c>
      <c r="CA22" s="60">
        <f>SUM(BW22:BZ22)</f>
        <v>3.5</v>
      </c>
      <c r="CB22" s="24"/>
      <c r="CC22" s="24">
        <v>-1.5</v>
      </c>
      <c r="CD22" s="24">
        <v>1</v>
      </c>
      <c r="CE22" s="24">
        <v>1.5</v>
      </c>
      <c r="CF22" s="94">
        <v>8</v>
      </c>
      <c r="CG22" s="60">
        <f>SUM(CC22:CF22)</f>
        <v>9</v>
      </c>
      <c r="CH22" s="24"/>
      <c r="CI22" s="24">
        <v>-0.4</v>
      </c>
      <c r="CJ22" s="24">
        <v>3.9</v>
      </c>
      <c r="CK22" s="24">
        <v>3.9</v>
      </c>
      <c r="CL22" s="94">
        <v>7.2</v>
      </c>
      <c r="CM22" s="60">
        <f>SUM(CI22:CL22)</f>
        <v>14.600000000000001</v>
      </c>
    </row>
    <row r="23" spans="1:91" x14ac:dyDescent="0.2">
      <c r="A23" s="2" t="s">
        <v>50</v>
      </c>
      <c r="C23" s="24"/>
      <c r="D23" s="24"/>
      <c r="E23" s="24"/>
      <c r="F23" s="24"/>
      <c r="G23" s="60"/>
      <c r="H23" s="24"/>
      <c r="I23" s="24"/>
      <c r="J23" s="24"/>
      <c r="K23" s="24"/>
      <c r="L23" s="24"/>
      <c r="M23" s="60"/>
      <c r="N23" s="24"/>
      <c r="O23" s="24"/>
      <c r="P23" s="24"/>
      <c r="Q23" s="24"/>
      <c r="R23" s="24"/>
      <c r="S23" s="60"/>
      <c r="T23" s="24"/>
      <c r="U23" s="24"/>
      <c r="V23" s="24"/>
      <c r="W23" s="24"/>
      <c r="X23" s="24"/>
      <c r="Y23" s="60"/>
      <c r="Z23" s="24"/>
      <c r="AA23" s="24"/>
      <c r="AB23" s="24"/>
      <c r="AC23" s="24"/>
      <c r="AD23" s="94"/>
      <c r="AE23" s="60"/>
      <c r="AF23" s="24"/>
      <c r="AG23" s="24">
        <v>-0.93959731543624159</v>
      </c>
      <c r="AH23" s="24">
        <v>-1.0738255033557047</v>
      </c>
      <c r="AI23" s="24">
        <v>-1.3422818791946309</v>
      </c>
      <c r="AJ23" s="94">
        <v>-1.0738255033557047</v>
      </c>
      <c r="AK23" s="60">
        <f>SUM(AG23:AJ23)</f>
        <v>-4.4295302013422821</v>
      </c>
      <c r="AL23" s="24"/>
      <c r="AM23" s="24">
        <v>-1.0738255033557047</v>
      </c>
      <c r="AN23" s="24">
        <v>-1.4765100671140938</v>
      </c>
      <c r="AO23" s="24">
        <v>-1.2080536912751678</v>
      </c>
      <c r="AP23" s="94">
        <v>-1.2080536912751678</v>
      </c>
      <c r="AQ23" s="60">
        <f>SUM(AM23:AP23)</f>
        <v>-4.9664429530201346</v>
      </c>
      <c r="AR23" s="24"/>
      <c r="AS23" s="24">
        <v>-0.80536912751677847</v>
      </c>
      <c r="AT23" s="24">
        <v>-1.4765100671140938</v>
      </c>
      <c r="AU23" s="24">
        <v>-1.0738255033557047</v>
      </c>
      <c r="AV23" s="94">
        <v>-1.3422818791946309</v>
      </c>
      <c r="AW23" s="60">
        <f>SUM(AS23:AV23)</f>
        <v>-4.6979865771812079</v>
      </c>
      <c r="AX23" s="24"/>
      <c r="AY23" s="24">
        <v>-1.2080536912751678</v>
      </c>
      <c r="AZ23" s="24">
        <v>-1.7449664429530201</v>
      </c>
      <c r="BA23" s="24">
        <v>-0.67114093959731547</v>
      </c>
      <c r="BB23" s="94">
        <v>-0.93959731543624159</v>
      </c>
      <c r="BC23" s="60">
        <f>SUM(AY23:BB23)</f>
        <v>-4.5637583892617446</v>
      </c>
      <c r="BD23" s="24"/>
      <c r="BE23" s="24">
        <v>-1.0738255033557047</v>
      </c>
      <c r="BF23" s="24">
        <v>-1.0738255033557047</v>
      </c>
      <c r="BG23" s="24">
        <v>-0.80536912751677847</v>
      </c>
      <c r="BH23" s="94">
        <v>-1.7449664429530201</v>
      </c>
      <c r="BI23" s="60">
        <f>SUM(BE23:BH23)</f>
        <v>-4.6979865771812079</v>
      </c>
      <c r="BJ23" s="24"/>
      <c r="BK23" s="24">
        <v>-0.80536912751677847</v>
      </c>
      <c r="BL23" s="24">
        <v>-1.0738255033557047</v>
      </c>
      <c r="BM23" s="24">
        <v>-0.93959731543624159</v>
      </c>
      <c r="BN23" s="94">
        <v>-0.6</v>
      </c>
      <c r="BO23" s="60">
        <f>SUM(BK23:BN23)</f>
        <v>-3.4187919463087248</v>
      </c>
      <c r="BP23" s="24"/>
      <c r="BQ23" s="24">
        <v>-0.7</v>
      </c>
      <c r="BR23" s="24">
        <v>-0.8</v>
      </c>
      <c r="BS23" s="24">
        <v>-0.6</v>
      </c>
      <c r="BT23" s="94">
        <v>-1.8</v>
      </c>
      <c r="BU23" s="60">
        <f>SUM(BQ23:BT23)</f>
        <v>-3.9000000000000004</v>
      </c>
      <c r="BV23" s="24"/>
      <c r="BW23" s="24">
        <v>0</v>
      </c>
      <c r="BX23" s="24">
        <v>0</v>
      </c>
      <c r="BY23" s="24">
        <v>0</v>
      </c>
      <c r="BZ23" s="94"/>
      <c r="CA23" s="60">
        <f>SUM(BW23:BZ23)</f>
        <v>0</v>
      </c>
      <c r="CB23" s="24"/>
      <c r="CC23" s="24"/>
      <c r="CD23" s="24"/>
      <c r="CE23" s="24"/>
      <c r="CF23" s="94">
        <v>0.1</v>
      </c>
      <c r="CG23" s="60">
        <f>SUM(CC23:CF23)</f>
        <v>0.1</v>
      </c>
      <c r="CH23" s="24"/>
      <c r="CI23" s="24"/>
      <c r="CJ23" s="24"/>
      <c r="CK23" s="24"/>
      <c r="CL23" s="94"/>
      <c r="CM23" s="60">
        <f>SUM(CI23:CL23)</f>
        <v>0</v>
      </c>
    </row>
    <row r="24" spans="1:91" s="41" customFormat="1" x14ac:dyDescent="0.2">
      <c r="A24" s="37"/>
      <c r="C24" s="67"/>
      <c r="D24" s="67"/>
      <c r="E24" s="67"/>
      <c r="F24" s="67"/>
      <c r="G24" s="65"/>
      <c r="H24" s="67"/>
      <c r="I24" s="67"/>
      <c r="J24" s="67"/>
      <c r="K24" s="67"/>
      <c r="L24" s="67"/>
      <c r="M24" s="65"/>
      <c r="N24" s="67"/>
      <c r="O24" s="67"/>
      <c r="P24" s="67"/>
      <c r="Q24" s="67"/>
      <c r="R24" s="67"/>
      <c r="S24" s="65"/>
      <c r="T24" s="67"/>
      <c r="U24" s="67"/>
      <c r="V24" s="67"/>
      <c r="W24" s="67"/>
      <c r="X24" s="67"/>
      <c r="Y24" s="65"/>
      <c r="Z24" s="67"/>
      <c r="AA24" s="67"/>
      <c r="AB24" s="67"/>
      <c r="AC24" s="67"/>
      <c r="AD24" s="102"/>
      <c r="AE24" s="65"/>
      <c r="AF24" s="67"/>
      <c r="AG24" s="64">
        <f>SUM(AG18:AG23)</f>
        <v>31.543624161073826</v>
      </c>
      <c r="AH24" s="64">
        <f>SUM(AH18:AH23)</f>
        <v>37.852348993288587</v>
      </c>
      <c r="AI24" s="64">
        <f>SUM(AI18:AI23)</f>
        <v>37.181208053691279</v>
      </c>
      <c r="AJ24" s="64">
        <f>SUM(AJ18:AJ23)</f>
        <v>25.906040268456376</v>
      </c>
      <c r="AK24" s="65">
        <f>SUM(AK18:AK23)</f>
        <v>132.48322147651004</v>
      </c>
      <c r="AL24" s="67"/>
      <c r="AM24" s="64">
        <f>SUM(AM18:AM23)</f>
        <v>29.664429530201346</v>
      </c>
      <c r="AN24" s="64">
        <f>SUM(AN18:AN23)</f>
        <v>29.261744966442954</v>
      </c>
      <c r="AO24" s="64">
        <f>SUM(AO18:AO23)</f>
        <v>42.416107382550337</v>
      </c>
      <c r="AP24" s="64">
        <f>SUM(AP18:AP23)</f>
        <v>37.718120805369125</v>
      </c>
      <c r="AQ24" s="65">
        <f>SUM(AQ18:AQ23)</f>
        <v>139.06040268456377</v>
      </c>
      <c r="AR24" s="67"/>
      <c r="AS24" s="64">
        <f>SUM(AS18:AS23)</f>
        <v>30.738255033557046</v>
      </c>
      <c r="AT24" s="64">
        <f>SUM(AT18:AT23)</f>
        <v>31.94630872483221</v>
      </c>
      <c r="AU24" s="64">
        <f>SUM(AU18:AU23)</f>
        <v>33.691275167785236</v>
      </c>
      <c r="AV24" s="64">
        <f>SUM(AV18:AV23)</f>
        <v>43.087248322147651</v>
      </c>
      <c r="AW24" s="65">
        <f>SUM(AW18:AW23)</f>
        <v>139.46308724832213</v>
      </c>
      <c r="AX24" s="67"/>
      <c r="AY24" s="64">
        <f>SUM(AY18:AY23)</f>
        <v>29.127516778523493</v>
      </c>
      <c r="AZ24" s="64">
        <f>SUM(AZ18:AZ23)</f>
        <v>37.583892617449663</v>
      </c>
      <c r="BA24" s="64">
        <f>SUM(BA18:BA23)</f>
        <v>34.36241610738255</v>
      </c>
      <c r="BB24" s="64">
        <f>SUM(BB18:BB23)</f>
        <v>44.563758389261736</v>
      </c>
      <c r="BC24" s="65">
        <f>SUM(BC18:BC23)</f>
        <v>145.63758389261744</v>
      </c>
      <c r="BD24" s="67"/>
      <c r="BE24" s="64">
        <f>SUM(BE18:BE23)</f>
        <v>34.09395973154362</v>
      </c>
      <c r="BF24" s="64">
        <f>SUM(BF18:BF23)</f>
        <v>43.355704697986575</v>
      </c>
      <c r="BG24" s="64">
        <f>SUM(BG18:BG23)</f>
        <v>36.375838926174495</v>
      </c>
      <c r="BH24" s="64">
        <f>SUM(BH18:BH23)</f>
        <v>56.510067114093957</v>
      </c>
      <c r="BI24" s="65">
        <f>SUM(BI18:BI23)</f>
        <v>170.33557046979863</v>
      </c>
      <c r="BJ24" s="67"/>
      <c r="BK24" s="64">
        <f>SUM(BK18:BK23)</f>
        <v>37.986577181208055</v>
      </c>
      <c r="BL24" s="64">
        <f>SUM(BL18:BL23)</f>
        <v>59.194630872483216</v>
      </c>
      <c r="BM24" s="64">
        <f>SUM(BM18:BM23)</f>
        <v>37.046979865771817</v>
      </c>
      <c r="BN24" s="64">
        <f>SUM(BN18:BN23)</f>
        <v>41</v>
      </c>
      <c r="BO24" s="65">
        <f>SUM(BO18:BO23)</f>
        <v>175.2281879194631</v>
      </c>
      <c r="BP24" s="67"/>
      <c r="BQ24" s="64">
        <f>SUM(BQ18:BQ23)</f>
        <v>38.301000000000002</v>
      </c>
      <c r="BR24" s="64">
        <f>SUM(BR18:BR23)</f>
        <v>52.900000000000006</v>
      </c>
      <c r="BS24" s="64">
        <f>SUM(BS18:BS23)</f>
        <v>47.4</v>
      </c>
      <c r="BT24" s="64">
        <f>SUM(BT18:BT23)</f>
        <v>53.1</v>
      </c>
      <c r="BU24" s="65">
        <f>SUM(BU18:BU23)</f>
        <v>191.70099999999999</v>
      </c>
      <c r="BV24" s="67"/>
      <c r="BW24" s="64">
        <f>SUM(BW18:BW23)</f>
        <v>50.800000000000004</v>
      </c>
      <c r="BX24" s="64">
        <f>SUM(BX18:BX23)</f>
        <v>79.5</v>
      </c>
      <c r="BY24" s="64">
        <f>SUM(BY18:BY23)</f>
        <v>65.399999999999991</v>
      </c>
      <c r="BZ24" s="64">
        <f>SUM(BZ18:BZ23)</f>
        <v>39.500000000000014</v>
      </c>
      <c r="CA24" s="65">
        <f>SUM(CA18:CA23)</f>
        <v>141.80000000000001</v>
      </c>
      <c r="CB24" s="67"/>
      <c r="CC24" s="64">
        <f>SUM(CC18:CC23)</f>
        <v>18.899999999999999</v>
      </c>
      <c r="CD24" s="64">
        <f>SUM(CD18:CD23)</f>
        <v>33.1</v>
      </c>
      <c r="CE24" s="64">
        <f>SUM(CE18:CE23)</f>
        <v>27.6</v>
      </c>
      <c r="CF24" s="64">
        <f>SUM(CF18:CF23)</f>
        <v>-0.2999999999999915</v>
      </c>
      <c r="CG24" s="65">
        <f>SUM(CG18:CG23)</f>
        <v>79.3</v>
      </c>
      <c r="CH24" s="67"/>
      <c r="CI24" s="64">
        <f>SUM(CI18:CI23)</f>
        <v>-2.8</v>
      </c>
      <c r="CJ24" s="64">
        <f>SUM(CJ18:CJ23)</f>
        <v>13.3</v>
      </c>
      <c r="CK24" s="64">
        <f>SUM(CK18:CK23)</f>
        <v>10.8</v>
      </c>
      <c r="CL24" s="64">
        <f>SUM(CL18:CL23)</f>
        <v>8.4</v>
      </c>
      <c r="CM24" s="65">
        <f>SUM(CM18:CM23)</f>
        <v>29.700000000000003</v>
      </c>
    </row>
    <row r="25" spans="1:91" s="47" customFormat="1" ht="18.75" customHeight="1" x14ac:dyDescent="0.2">
      <c r="A25" s="49" t="s">
        <v>81</v>
      </c>
      <c r="C25" s="48"/>
      <c r="D25" s="48"/>
      <c r="E25" s="48"/>
      <c r="F25" s="48"/>
      <c r="G25" s="43"/>
      <c r="I25" s="48"/>
      <c r="J25" s="48"/>
      <c r="K25" s="48"/>
      <c r="L25" s="48"/>
      <c r="M25" s="43"/>
      <c r="O25" s="48"/>
      <c r="P25" s="48"/>
      <c r="Q25" s="48"/>
      <c r="R25" s="48"/>
      <c r="S25" s="43"/>
      <c r="U25" s="48"/>
      <c r="V25" s="48"/>
      <c r="W25" s="48"/>
      <c r="X25" s="48"/>
      <c r="Y25" s="43"/>
      <c r="AA25" s="48"/>
      <c r="AB25" s="48"/>
      <c r="AC25" s="48"/>
      <c r="AD25" s="51"/>
      <c r="AE25" s="43"/>
      <c r="AG25" s="52">
        <f>+AG24/AG16</f>
        <v>9.4226142742582203E-2</v>
      </c>
      <c r="AH25" s="52">
        <f>+AH24/AH16</f>
        <v>9.5496105655265826E-2</v>
      </c>
      <c r="AI25" s="52">
        <f>+AI24/AI16</f>
        <v>9.4121644580360181E-2</v>
      </c>
      <c r="AJ25" s="52">
        <f>+AJ24/AJ16</f>
        <v>6.25E-2</v>
      </c>
      <c r="AK25" s="53">
        <f>+AK24/AK16</f>
        <v>8.5990590695243049E-2</v>
      </c>
      <c r="AM25" s="52">
        <f>+AM24/AM16</f>
        <v>7.7191756898358374E-2</v>
      </c>
      <c r="AN25" s="52">
        <f>+AN24/AN16</f>
        <v>7.0848228794280141E-2</v>
      </c>
      <c r="AO25" s="52">
        <f>+AO24/AO16</f>
        <v>0.10439378923026098</v>
      </c>
      <c r="AP25" s="52">
        <f>+AP24/AP16</f>
        <v>8.8253768844221092E-2</v>
      </c>
      <c r="AQ25" s="53">
        <f>+AQ24/AQ16</f>
        <v>8.5260472389103767E-2</v>
      </c>
      <c r="AS25" s="52">
        <f>+AS24/AS16</f>
        <v>8.1610833927298634E-2</v>
      </c>
      <c r="AT25" s="52">
        <f>+AT24/AT16</f>
        <v>7.7297823968821025E-2</v>
      </c>
      <c r="AU25" s="52">
        <f>+AU24/AU16</f>
        <v>8.2674571805006578E-2</v>
      </c>
      <c r="AV25" s="52">
        <f>+AV24/AV16</f>
        <v>9.9473194917880398E-2</v>
      </c>
      <c r="AW25" s="53">
        <f>+AW24/AW16</f>
        <v>8.5528482054659183E-2</v>
      </c>
      <c r="AY25" s="52">
        <f>+AY24/AY16</f>
        <v>7.5900664568030796E-2</v>
      </c>
      <c r="AZ25" s="52">
        <f>+AZ24/AZ16</f>
        <v>8.5784313725490197E-2</v>
      </c>
      <c r="BA25" s="52">
        <f>+BA24/BA16</f>
        <v>7.8001218769043271E-2</v>
      </c>
      <c r="BB25" s="52">
        <f>+BB24/BB16</f>
        <v>9.6567771960442098E-2</v>
      </c>
      <c r="BC25" s="53">
        <f>+BC24/BC16</f>
        <v>8.448181888966752E-2</v>
      </c>
      <c r="BE25" s="52">
        <f>+BE24/BE16</f>
        <v>7.9899339414910328E-2</v>
      </c>
      <c r="BF25" s="52">
        <f>+BF24/BF16</f>
        <v>9.679352712016781E-2</v>
      </c>
      <c r="BG25" s="52">
        <f>+BG24/BG16</f>
        <v>8.2596769277659243E-2</v>
      </c>
      <c r="BH25" s="52">
        <f>+BH24/BH16</f>
        <v>0.1244457582027786</v>
      </c>
      <c r="BI25" s="53">
        <f>+BI24/BI16</f>
        <v>9.6282245827010615E-2</v>
      </c>
      <c r="BK25" s="52">
        <f>+BK24/BK16</f>
        <v>8.143884892086331E-2</v>
      </c>
      <c r="BL25" s="52">
        <f>+BL24/BL16</f>
        <v>0.11970684039087948</v>
      </c>
      <c r="BM25" s="52">
        <f>+BM24/BM16</f>
        <v>8.4455324357405145E-2</v>
      </c>
      <c r="BN25" s="52">
        <v>8.7999999999999995E-2</v>
      </c>
      <c r="BO25" s="53">
        <f>+BO24/BO16</f>
        <v>9.3745152784240726E-2</v>
      </c>
      <c r="BQ25" s="54">
        <f>+BQ24/BQ16</f>
        <v>8.9929560929795732E-2</v>
      </c>
      <c r="BR25" s="54">
        <f>+BR24/BR16</f>
        <v>0.10895983522142125</v>
      </c>
      <c r="BS25" s="52">
        <f>+BS24/BS16</f>
        <v>0.10362920857017927</v>
      </c>
      <c r="BT25" s="52">
        <f>+BT24/BT16</f>
        <v>0.11005181347150261</v>
      </c>
      <c r="BU25" s="53">
        <f>+BU24/BU16</f>
        <v>0.10354939772052071</v>
      </c>
      <c r="BW25" s="54">
        <f>+BW24/BW16</f>
        <v>0.11002815681178257</v>
      </c>
      <c r="BX25" s="54">
        <f>+BX24/BX16</f>
        <v>0.13723459347488348</v>
      </c>
      <c r="BY25" s="54">
        <f>+BY24/BY16</f>
        <v>0.11532357608887321</v>
      </c>
      <c r="BZ25" s="54">
        <f>+BZ24/BZ16</f>
        <v>0.13079470198675502</v>
      </c>
      <c r="CA25" s="53">
        <f>+CA24/CA16</f>
        <v>0.12793215445687478</v>
      </c>
      <c r="CC25" s="54">
        <f>+CC24/CC16</f>
        <v>7.0813038591232669E-2</v>
      </c>
      <c r="CD25" s="54">
        <f>+CD24/CD16</f>
        <v>0.1021604938271605</v>
      </c>
      <c r="CE25" s="54">
        <f>+CE24/CE16</f>
        <v>9.1499801087388949E-2</v>
      </c>
      <c r="CF25" s="54">
        <f>+CF24/CF16</f>
        <v>-1.1783189316574687E-3</v>
      </c>
      <c r="CG25" s="53">
        <f>+CG24/CG16</f>
        <v>6.91284411667277E-2</v>
      </c>
      <c r="CI25" s="54">
        <f>+CI24/CI16</f>
        <v>-1.2733060482037288E-2</v>
      </c>
      <c r="CJ25" s="54">
        <f>+CJ24/CJ16</f>
        <v>5.0647372429550655E-2</v>
      </c>
      <c r="CK25" s="54">
        <f>+CK24/CK16</f>
        <v>4.3356081894821361E-2</v>
      </c>
      <c r="CL25" s="54">
        <f>+CL24/CL16</f>
        <v>2.9207232267037558E-2</v>
      </c>
      <c r="CM25" s="53">
        <f>+CM24/CM16</f>
        <v>2.9140502354788069E-2</v>
      </c>
    </row>
    <row r="26" spans="1:91" ht="18.75" customHeight="1" x14ac:dyDescent="0.2">
      <c r="A26" s="1" t="s">
        <v>143</v>
      </c>
      <c r="C26" s="4"/>
      <c r="D26" s="4"/>
      <c r="E26" s="4"/>
      <c r="F26" s="4"/>
      <c r="G26" s="29"/>
      <c r="I26" s="4"/>
      <c r="J26" s="4"/>
      <c r="K26" s="4"/>
      <c r="L26" s="4"/>
      <c r="M26" s="29"/>
      <c r="O26" s="4"/>
      <c r="P26" s="4"/>
      <c r="Q26" s="4"/>
      <c r="R26" s="4"/>
      <c r="S26" s="29"/>
      <c r="U26" s="4"/>
      <c r="V26" s="4"/>
      <c r="W26" s="4"/>
      <c r="X26" s="4"/>
      <c r="Y26" s="29"/>
      <c r="AA26" s="4"/>
      <c r="AB26" s="4"/>
      <c r="AC26" s="4"/>
      <c r="AD26" s="14"/>
      <c r="AE26" s="29"/>
      <c r="AG26" s="21">
        <f>+AG19/AG15</f>
        <v>5.694980694980694E-2</v>
      </c>
      <c r="AH26" s="21">
        <f>+AH19/AH15</f>
        <v>5.967976710334788E-2</v>
      </c>
      <c r="AI26" s="21">
        <f>+AI19/AI15</f>
        <v>9.3053735255570119E-2</v>
      </c>
      <c r="AJ26" s="21">
        <f>+AJ19/AJ15</f>
        <v>2.8553693358162633E-2</v>
      </c>
      <c r="AK26" s="50">
        <f>+AK19/AK15</f>
        <v>5.9311339462772665E-2</v>
      </c>
      <c r="AM26" s="21">
        <f>+AM19/AM15</f>
        <v>2.2082018927444793E-2</v>
      </c>
      <c r="AN26" s="21">
        <f>+AN19/AN15</f>
        <v>6.5359477124183009E-3</v>
      </c>
      <c r="AO26" s="21">
        <f>+AO19/AO15</f>
        <v>4.894629503738953E-2</v>
      </c>
      <c r="AP26" s="21">
        <f>+AP19/AP15</f>
        <v>4.8057932850559586E-2</v>
      </c>
      <c r="AQ26" s="50">
        <f>+AQ19/AQ15</f>
        <v>3.2298136645962733E-2</v>
      </c>
      <c r="AS26" s="21">
        <f>+AS19/AS15</f>
        <v>3.5971223021582732E-2</v>
      </c>
      <c r="AT26" s="21">
        <f>+AT19/AT15</f>
        <v>3.3733133433283359E-2</v>
      </c>
      <c r="AU26" s="21">
        <f>+AU19/AU15</f>
        <v>6.9529652351738233E-2</v>
      </c>
      <c r="AV26" s="21">
        <f>+AV19/AV15</f>
        <v>6.830238726790451E-2</v>
      </c>
      <c r="AW26" s="50">
        <f>+AW19/AW15</f>
        <v>5.3495665006456368E-2</v>
      </c>
      <c r="AY26" s="21">
        <f>+AY19/AY15</f>
        <v>3.7423846823324627E-2</v>
      </c>
      <c r="AZ26" s="21">
        <f>+AZ19/AZ15</f>
        <v>4.784688995215311E-2</v>
      </c>
      <c r="BA26" s="21">
        <f>+BA19/BA15</f>
        <v>6.2010836845273927E-2</v>
      </c>
      <c r="BB26" s="21">
        <f>+BB19/BB15</f>
        <v>6.8233944954128448E-2</v>
      </c>
      <c r="BC26" s="50">
        <f>+BC19/BC15</f>
        <v>5.5675585840119668E-2</v>
      </c>
      <c r="BE26" s="21">
        <f>+BE19/BE15</f>
        <v>3.5558780841799711E-2</v>
      </c>
      <c r="BF26" s="21">
        <f>+BF19/BF15</f>
        <v>7.6361221779548474E-2</v>
      </c>
      <c r="BG26" s="21">
        <f>+BG19/BG15</f>
        <v>8.1472540736270374E-2</v>
      </c>
      <c r="BH26" s="21">
        <f>+BH19/BH15</f>
        <v>0.12219286657859973</v>
      </c>
      <c r="BI26" s="50">
        <f>+BI19/BI15</f>
        <v>7.9933938893476469E-2</v>
      </c>
      <c r="BK26" s="21">
        <f>+BK19/BK15</f>
        <v>6.6914498141263948E-2</v>
      </c>
      <c r="BL26" s="21">
        <f>+BL19/BL15</f>
        <v>0.13997695852534561</v>
      </c>
      <c r="BM26" s="21">
        <f>+BM19/BM15</f>
        <v>7.4149659863945575E-2</v>
      </c>
      <c r="BN26" s="21">
        <v>7.1999999999999995E-2</v>
      </c>
      <c r="BO26" s="50">
        <f>+BO19/BO15</f>
        <v>8.983998985752005E-2</v>
      </c>
      <c r="BQ26" s="22">
        <f>+BQ19/BQ15</f>
        <v>7.4096754439681556E-2</v>
      </c>
      <c r="BR26" s="22">
        <v>0.108</v>
      </c>
      <c r="BS26" s="22">
        <f>+BS19/BS15</f>
        <v>0.10443199184921038</v>
      </c>
      <c r="BT26" s="22">
        <f>+BT19/BT15</f>
        <v>9.6486628211851069E-2</v>
      </c>
      <c r="BU26" s="50">
        <f>+BU19/BU15</f>
        <v>9.6615138592750519E-2</v>
      </c>
      <c r="BW26" s="22">
        <f>+BW19/BW15</f>
        <v>9.6112311015118801E-2</v>
      </c>
      <c r="BX26" s="22">
        <f>+BX19/BX15</f>
        <v>0.14890662964248524</v>
      </c>
      <c r="BY26" s="22">
        <f>+BY19/BY15</f>
        <v>0.14445910290237465</v>
      </c>
      <c r="BZ26" s="22">
        <f>+BZ19/BZ15</f>
        <v>0.12007104795737127</v>
      </c>
      <c r="CA26" s="50">
        <f>+CA19/CA15</f>
        <v>0.13071833648393197</v>
      </c>
      <c r="CC26" s="22">
        <f>+CC19/CC15</f>
        <v>8.0157170923379165E-2</v>
      </c>
      <c r="CD26" s="22">
        <f>+CD19/CD15</f>
        <v>0.1047650130548303</v>
      </c>
      <c r="CE26" s="22">
        <f>+CE19/CE15</f>
        <v>9.0972464273265954E-2</v>
      </c>
      <c r="CF26" s="22">
        <f>+CF19/CF15</f>
        <v>-3.6160137752905698E-2</v>
      </c>
      <c r="CG26" s="50">
        <f>+CG19/CG15</f>
        <v>6.4993982038700132E-2</v>
      </c>
      <c r="CI26" s="22">
        <f>+CI19/CI15</f>
        <v>-1.1684518013631937E-2</v>
      </c>
      <c r="CJ26" s="22">
        <f>+CJ19/CJ15</f>
        <v>3.8367346938775512E-2</v>
      </c>
      <c r="CK26" s="22">
        <f>+CK19/CK15</f>
        <v>2.9690189328743545E-2</v>
      </c>
      <c r="CL26" s="22">
        <f>+CL19/CL15</f>
        <v>4.5766590389016018E-3</v>
      </c>
      <c r="CM26" s="50">
        <f>+CM19/CM15</f>
        <v>1.5978835978835978E-2</v>
      </c>
    </row>
    <row r="27" spans="1:91" ht="18.75" customHeight="1" x14ac:dyDescent="0.2">
      <c r="A27" s="1" t="s">
        <v>82</v>
      </c>
      <c r="C27" s="4"/>
      <c r="D27" s="4"/>
      <c r="E27" s="4"/>
      <c r="F27" s="4"/>
      <c r="G27" s="29"/>
      <c r="I27" s="4"/>
      <c r="J27" s="4"/>
      <c r="K27" s="4"/>
      <c r="L27" s="4"/>
      <c r="M27" s="29"/>
      <c r="O27" s="4"/>
      <c r="P27" s="4"/>
      <c r="Q27" s="4"/>
      <c r="R27" s="4"/>
      <c r="S27" s="29"/>
      <c r="U27" s="4"/>
      <c r="V27" s="4"/>
      <c r="W27" s="4"/>
      <c r="X27" s="4"/>
      <c r="Y27" s="29"/>
      <c r="AA27" s="4"/>
      <c r="AB27" s="4"/>
      <c r="AC27" s="4"/>
      <c r="AD27" s="14"/>
      <c r="AE27" s="29"/>
      <c r="AG27" s="21">
        <f>+AG20/AG7</f>
        <v>0.12129760225669958</v>
      </c>
      <c r="AH27" s="21">
        <f>+AH20/AH7</f>
        <v>0.12402088772845953</v>
      </c>
      <c r="AI27" s="21">
        <f>+AI20/AI7</f>
        <v>9.4752186588921275E-2</v>
      </c>
      <c r="AJ27" s="21">
        <f>+AJ20/AJ7</f>
        <v>8.4210526315789472E-2</v>
      </c>
      <c r="AK27" s="50">
        <f>+AK20/AK7</f>
        <v>0.10649034278754134</v>
      </c>
      <c r="AM27" s="21">
        <f>+AM20/AM7</f>
        <v>0.1166237113402062</v>
      </c>
      <c r="AN27" s="21">
        <f>+AN20/AN7</f>
        <v>0.12113870381586918</v>
      </c>
      <c r="AO27" s="21">
        <f>+AO20/AO7</f>
        <v>0.10726182544970021</v>
      </c>
      <c r="AP27" s="21">
        <f>+AP20/AP7</f>
        <v>0.11852776044915782</v>
      </c>
      <c r="AQ27" s="50">
        <f>+AQ20/AQ7</f>
        <v>0.11606151894720153</v>
      </c>
      <c r="AS27" s="21">
        <f>+AS20/AS7</f>
        <v>0.11980440097799511</v>
      </c>
      <c r="AT27" s="21">
        <f>+AT20/AT7</f>
        <v>0.12285883047844064</v>
      </c>
      <c r="AU27" s="21">
        <f>+AU20/AU7</f>
        <v>0.10415293342122611</v>
      </c>
      <c r="AV27" s="21">
        <f>+AV20/AV7</f>
        <v>0.12948328267477202</v>
      </c>
      <c r="AW27" s="50">
        <f>+AW20/AW7</f>
        <v>0.11939608688953936</v>
      </c>
      <c r="AY27" s="21">
        <f>+AY20/AY7</f>
        <v>0.113595166163142</v>
      </c>
      <c r="AZ27" s="21">
        <f>+AZ20/AZ7</f>
        <v>0.12866168868466399</v>
      </c>
      <c r="BA27" s="21">
        <f>+BA20/BA7</f>
        <v>0.10025706940874037</v>
      </c>
      <c r="BB27" s="21">
        <f>+BB20/BB7</f>
        <v>0.1305158483530143</v>
      </c>
      <c r="BC27" s="50">
        <f>+BC20/BC7</f>
        <v>0.11857948483462888</v>
      </c>
      <c r="BE27" s="21">
        <f>+BE20/BE7</f>
        <v>0.12262521588946459</v>
      </c>
      <c r="BF27" s="21">
        <f>+BF20/BF7</f>
        <v>0.1236528644356211</v>
      </c>
      <c r="BG27" s="21">
        <f>+BG20/BG7</f>
        <v>9.0442591404746614E-2</v>
      </c>
      <c r="BH27" s="21">
        <f>+BH20/BH7</f>
        <v>0.12774338773213281</v>
      </c>
      <c r="BI27" s="50">
        <f>+BI20/BI7</f>
        <v>0.1168812170860152</v>
      </c>
      <c r="BK27" s="21">
        <f>+BK20/BK7</f>
        <v>0.10133630289532294</v>
      </c>
      <c r="BL27" s="21">
        <f>+BL20/BL7</f>
        <v>0.11346765641569459</v>
      </c>
      <c r="BM27" s="21">
        <f>+BM20/BM7</f>
        <v>9.3131548311990692E-2</v>
      </c>
      <c r="BN27" s="21">
        <v>9.5000000000000001E-2</v>
      </c>
      <c r="BO27" s="50">
        <f>+BO20/BO7</f>
        <v>0.10080043769510971</v>
      </c>
      <c r="BQ27" s="22">
        <f>+BQ20/BQ7</f>
        <v>0.10650352388410336</v>
      </c>
      <c r="BR27" s="22">
        <f>+BR20/BR7</f>
        <v>0.11754068716094032</v>
      </c>
      <c r="BS27" s="21">
        <f>+BS20/BS7</f>
        <v>0.10627247303236116</v>
      </c>
      <c r="BT27" s="21">
        <f>+BT20/BT7</f>
        <v>0.11038726022439377</v>
      </c>
      <c r="BU27" s="50">
        <f>+BU20/BU7</f>
        <v>0.11034577231931979</v>
      </c>
      <c r="BW27" s="22">
        <f>+BW20/BW7</f>
        <v>0.1304832713754647</v>
      </c>
      <c r="BX27" s="22">
        <f>+BX20/BX7</f>
        <v>0.1282142857142857</v>
      </c>
      <c r="BY27" s="22">
        <f>+BY20/BY7</f>
        <v>8.8642659279778394E-2</v>
      </c>
      <c r="BZ27" s="21"/>
      <c r="CA27" s="50"/>
      <c r="CC27" s="22"/>
      <c r="CD27" s="22"/>
      <c r="CE27" s="22"/>
      <c r="CF27" s="21"/>
      <c r="CG27" s="50"/>
      <c r="CI27" s="22"/>
      <c r="CJ27" s="22"/>
      <c r="CK27" s="22"/>
      <c r="CL27" s="21"/>
      <c r="CM27" s="50"/>
    </row>
    <row r="28" spans="1:91" ht="18.75" customHeight="1" x14ac:dyDescent="0.2">
      <c r="A28" s="1" t="s">
        <v>145</v>
      </c>
      <c r="C28" s="4"/>
      <c r="D28" s="4"/>
      <c r="E28" s="4"/>
      <c r="F28" s="4"/>
      <c r="G28" s="29"/>
      <c r="I28" s="4"/>
      <c r="J28" s="4"/>
      <c r="K28" s="4"/>
      <c r="L28" s="4"/>
      <c r="M28" s="29"/>
      <c r="O28" s="4"/>
      <c r="P28" s="4"/>
      <c r="Q28" s="4"/>
      <c r="R28" s="4"/>
      <c r="S28" s="29"/>
      <c r="U28" s="4"/>
      <c r="V28" s="4"/>
      <c r="W28" s="4"/>
      <c r="X28" s="4"/>
      <c r="Y28" s="29"/>
      <c r="AA28" s="4"/>
      <c r="AB28" s="4"/>
      <c r="AC28" s="4"/>
      <c r="AD28" s="14"/>
      <c r="AE28" s="29"/>
      <c r="AG28" s="21"/>
      <c r="AH28" s="4"/>
      <c r="AI28" s="4"/>
      <c r="AJ28" s="14"/>
      <c r="AK28" s="29"/>
      <c r="AM28" s="21">
        <f>+AM22/AM10</f>
        <v>-0.18604651162790697</v>
      </c>
      <c r="AN28" s="21">
        <f>+AN22/AN10</f>
        <v>-0.02</v>
      </c>
      <c r="AO28" s="21">
        <f>+AO22/AO10</f>
        <v>5.4545454545454543E-2</v>
      </c>
      <c r="AP28" s="21">
        <f>+AP22/AP10</f>
        <v>0.11290322580645161</v>
      </c>
      <c r="AQ28" s="50">
        <f>+AQ22/AQ10</f>
        <v>4.7619047619047589E-3</v>
      </c>
      <c r="AS28" s="21">
        <f>+AS22/AS10</f>
        <v>-1.6949152542372881E-2</v>
      </c>
      <c r="AT28" s="21">
        <f>+AT22/AT10</f>
        <v>-7.6923076923076927E-2</v>
      </c>
      <c r="AU28" s="21">
        <f>+AU22/AU10</f>
        <v>-1.9607843137254905E-2</v>
      </c>
      <c r="AV28" s="21">
        <f>+AV22/AV10</f>
        <v>0.19999999999999998</v>
      </c>
      <c r="AW28" s="50">
        <f>+AW22/AW10</f>
        <v>3.7974683544303785E-2</v>
      </c>
      <c r="AY28" s="21">
        <f>+AY22/AY10</f>
        <v>-9.0909090909090925E-2</v>
      </c>
      <c r="AZ28" s="21">
        <f>+AZ22/AZ10</f>
        <v>-1.6129032258064516E-2</v>
      </c>
      <c r="BA28" s="21">
        <f>+BA22/BA10</f>
        <v>3.2258064516129031E-2</v>
      </c>
      <c r="BB28" s="21">
        <f>+BB22/BB10</f>
        <v>0.11494252873563218</v>
      </c>
      <c r="BC28" s="50">
        <f>+BC22/BC10</f>
        <v>2.2556390977443608E-2</v>
      </c>
      <c r="BE28" s="21">
        <f>+BE22/BE10</f>
        <v>0</v>
      </c>
      <c r="BF28" s="21">
        <f>+BF22/BF10</f>
        <v>-2.9850746268656719E-2</v>
      </c>
      <c r="BG28" s="21">
        <f>+BG22/BG10</f>
        <v>1.5384615384615384E-2</v>
      </c>
      <c r="BH28" s="21">
        <f>+BH22/BH10</f>
        <v>0.23655913978494622</v>
      </c>
      <c r="BI28" s="50">
        <f>+BI22/BI10</f>
        <v>7.2413793103448282E-2</v>
      </c>
      <c r="BK28" s="21">
        <f>+BK22/BK10</f>
        <v>-1.5384615384615384E-2</v>
      </c>
      <c r="BL28" s="21">
        <f>+BL22/BL10</f>
        <v>-0.12903225806451613</v>
      </c>
      <c r="BM28" s="21">
        <f>+BM22/BM10</f>
        <v>0.17283950617283952</v>
      </c>
      <c r="BN28" s="21">
        <v>0.253</v>
      </c>
      <c r="BO28" s="50">
        <v>9.6000000000000002E-2</v>
      </c>
      <c r="BQ28" s="111" t="s">
        <v>133</v>
      </c>
      <c r="BR28" s="111" t="s">
        <v>133</v>
      </c>
      <c r="BS28" s="21">
        <v>0.10100000000000001</v>
      </c>
      <c r="BT28" s="21">
        <f>+BT22/BT10</f>
        <v>0.37037037037037041</v>
      </c>
      <c r="BU28" s="50">
        <v>0.14699999999999999</v>
      </c>
      <c r="BW28" s="111" t="s">
        <v>133</v>
      </c>
      <c r="BX28" s="21">
        <f>+BX22/BX10</f>
        <v>6.25E-2</v>
      </c>
      <c r="BY28" s="111" t="s">
        <v>133</v>
      </c>
      <c r="BZ28" s="21">
        <f>+BZ22/BZ10</f>
        <v>0.27142857142857146</v>
      </c>
      <c r="CA28" s="147">
        <f>+CA22/CA10</f>
        <v>6.8762278978389005E-2</v>
      </c>
      <c r="CC28" s="21">
        <f>+CC22/CC10</f>
        <v>-0.12096774193548386</v>
      </c>
      <c r="CD28" s="21">
        <f>+CD22/CD10</f>
        <v>5.6818181818181816E-2</v>
      </c>
      <c r="CE28" s="21">
        <f>+CE22/CE10</f>
        <v>9.8684210526315791E-2</v>
      </c>
      <c r="CF28" s="21">
        <f>+CF22/CF10</f>
        <v>0.35555555555555557</v>
      </c>
      <c r="CG28" s="147">
        <f>+CG22/CG10</f>
        <v>0.13293943870014771</v>
      </c>
      <c r="CH28"/>
      <c r="CI28" s="21">
        <f>+CI22/CI10+0.001</f>
        <v>-2.6586206896551726E-2</v>
      </c>
      <c r="CJ28" s="21">
        <f>+CJ22/CJ10-0.001</f>
        <v>0.21687709497206706</v>
      </c>
      <c r="CK28" s="21">
        <f>+CK22/CK10-0.001</f>
        <v>0.23253293413173654</v>
      </c>
      <c r="CL28" s="21">
        <f>+CL22/CL10</f>
        <v>0.28235294117647058</v>
      </c>
      <c r="CM28" s="147">
        <f>+CM22/CM10</f>
        <v>0.19571045576407511</v>
      </c>
    </row>
    <row r="29" spans="1:91" x14ac:dyDescent="0.2">
      <c r="C29" s="4"/>
      <c r="D29" s="4"/>
      <c r="E29" s="4"/>
      <c r="F29" s="4"/>
      <c r="G29" s="29"/>
      <c r="I29" s="4"/>
      <c r="J29" s="4"/>
      <c r="K29" s="4"/>
      <c r="L29" s="4"/>
      <c r="M29" s="29"/>
      <c r="O29" s="4"/>
      <c r="P29" s="4"/>
      <c r="Q29" s="4"/>
      <c r="R29" s="4"/>
      <c r="S29" s="29"/>
      <c r="U29" s="4"/>
      <c r="V29" s="4"/>
      <c r="W29" s="4"/>
      <c r="X29" s="4"/>
      <c r="Y29" s="29"/>
      <c r="AA29" s="4"/>
      <c r="AB29" s="4"/>
      <c r="AC29" s="4"/>
      <c r="AD29" s="14"/>
      <c r="AE29" s="29"/>
      <c r="AG29" s="4"/>
      <c r="AH29" s="4"/>
      <c r="AI29" s="4"/>
      <c r="AJ29" s="14"/>
      <c r="AK29" s="29"/>
      <c r="AM29" s="4"/>
      <c r="AN29" s="4"/>
      <c r="AO29" s="4"/>
      <c r="AP29" s="14"/>
      <c r="AQ29" s="29"/>
      <c r="AS29" s="4"/>
      <c r="AT29" s="4"/>
      <c r="AU29" s="4"/>
      <c r="AV29" s="14"/>
      <c r="AW29" s="29"/>
      <c r="AY29" s="4"/>
      <c r="AZ29" s="4"/>
      <c r="BA29" s="4"/>
      <c r="BB29" s="14"/>
      <c r="BC29" s="29"/>
      <c r="BE29" s="4"/>
      <c r="BF29" s="4"/>
      <c r="BG29" s="4"/>
      <c r="BH29" s="14"/>
      <c r="BI29" s="29"/>
      <c r="BK29" s="4"/>
      <c r="BL29" s="4"/>
      <c r="BM29" s="4"/>
      <c r="BN29" s="14"/>
      <c r="BO29" s="29"/>
      <c r="BQ29" s="4"/>
      <c r="BR29" s="4"/>
      <c r="BS29" s="4"/>
      <c r="BT29" s="14"/>
      <c r="BU29" s="29"/>
      <c r="BW29" s="4"/>
      <c r="BX29" s="4"/>
      <c r="BY29" s="115"/>
      <c r="BZ29" s="14"/>
      <c r="CA29" s="29"/>
      <c r="CC29" s="4"/>
      <c r="CD29" s="4"/>
      <c r="CE29" s="115"/>
      <c r="CF29" s="14"/>
      <c r="CG29" s="29"/>
      <c r="CI29" s="4"/>
      <c r="CJ29" s="4"/>
      <c r="CK29" s="115"/>
      <c r="CL29" s="14"/>
      <c r="CM29" s="29"/>
    </row>
    <row r="30" spans="1:91" x14ac:dyDescent="0.2">
      <c r="A30" s="1" t="s">
        <v>1</v>
      </c>
      <c r="C30" s="4"/>
      <c r="D30" s="4"/>
      <c r="E30" s="4"/>
      <c r="F30" s="4"/>
      <c r="G30" s="29"/>
      <c r="I30" s="4"/>
      <c r="J30" s="4"/>
      <c r="K30" s="4"/>
      <c r="L30" s="4"/>
      <c r="M30" s="29"/>
      <c r="O30" s="4"/>
      <c r="P30" s="4"/>
      <c r="Q30" s="4"/>
      <c r="R30" s="4"/>
      <c r="S30" s="29"/>
      <c r="U30" s="4"/>
      <c r="V30" s="4"/>
      <c r="W30" s="4"/>
      <c r="X30" s="4"/>
      <c r="Y30" s="29"/>
      <c r="AA30" s="4"/>
      <c r="AB30" s="4"/>
      <c r="AC30" s="4"/>
      <c r="AD30" s="14"/>
      <c r="AE30" s="29"/>
      <c r="AG30" s="4"/>
      <c r="AH30" s="4"/>
      <c r="AI30" s="4"/>
      <c r="AJ30" s="14"/>
      <c r="AK30" s="29"/>
      <c r="AM30" s="4"/>
      <c r="AN30" s="4"/>
      <c r="AO30" s="4"/>
      <c r="AP30" s="14"/>
      <c r="AQ30" s="29"/>
      <c r="AS30" s="4"/>
      <c r="AT30" s="4"/>
      <c r="AU30" s="4"/>
      <c r="AV30" s="14"/>
      <c r="AW30" s="29"/>
      <c r="AY30" s="4"/>
      <c r="AZ30" s="4"/>
      <c r="BA30" s="4"/>
      <c r="BB30" s="14"/>
      <c r="BC30" s="29"/>
      <c r="BE30" s="4"/>
      <c r="BF30" s="4"/>
      <c r="BG30" s="4"/>
      <c r="BH30" s="14"/>
      <c r="BI30" s="29"/>
      <c r="BK30" s="4"/>
      <c r="BL30" s="4"/>
      <c r="BM30" s="4"/>
      <c r="BN30" s="14"/>
      <c r="BO30" s="29"/>
      <c r="BQ30" s="4"/>
      <c r="BR30" s="4"/>
      <c r="BS30" s="4"/>
      <c r="BT30" s="14"/>
      <c r="BU30" s="29"/>
      <c r="BW30" s="4"/>
      <c r="BX30" s="4"/>
      <c r="BY30" s="24"/>
      <c r="BZ30" s="14"/>
      <c r="CA30" s="29"/>
      <c r="CC30" s="4"/>
      <c r="CD30" s="4"/>
      <c r="CE30" s="24"/>
      <c r="CF30" s="14"/>
      <c r="CG30" s="29"/>
      <c r="CI30" s="4"/>
      <c r="CJ30" s="4"/>
      <c r="CK30" s="24"/>
      <c r="CL30" s="14"/>
      <c r="CM30" s="29"/>
    </row>
    <row r="31" spans="1:91" x14ac:dyDescent="0.2">
      <c r="A31" s="2" t="s">
        <v>142</v>
      </c>
      <c r="C31" s="24">
        <v>3.087248322147651</v>
      </c>
      <c r="D31" s="24">
        <v>8.3221476510067109</v>
      </c>
      <c r="E31" s="24">
        <v>10.604026845637584</v>
      </c>
      <c r="F31" s="24">
        <v>10.469798657718121</v>
      </c>
      <c r="G31" s="60">
        <f>SUM(C31:F31)</f>
        <v>32.483221476510067</v>
      </c>
      <c r="H31" s="24"/>
      <c r="I31" s="24">
        <v>8.3221476510067109</v>
      </c>
      <c r="J31" s="24">
        <v>13.288590604026846</v>
      </c>
      <c r="K31" s="24">
        <v>16.107382550335569</v>
      </c>
      <c r="L31" s="24">
        <v>11.006711409395972</v>
      </c>
      <c r="M31" s="60">
        <f>SUM(I31:L31)</f>
        <v>48.724832214765101</v>
      </c>
      <c r="N31" s="24"/>
      <c r="O31" s="24">
        <v>14.228187919463087</v>
      </c>
      <c r="P31" s="24">
        <v>26.174496644295303</v>
      </c>
      <c r="Q31" s="24">
        <v>25.100671140939596</v>
      </c>
      <c r="R31" s="24">
        <v>31.006711409395972</v>
      </c>
      <c r="S31" s="60">
        <f>SUM(O31:R31)</f>
        <v>96.510067114093957</v>
      </c>
      <c r="T31" s="24"/>
      <c r="U31" s="24">
        <v>16.51006711409396</v>
      </c>
      <c r="V31" s="24">
        <v>25.63758389261745</v>
      </c>
      <c r="W31" s="24">
        <v>21.610738255033556</v>
      </c>
      <c r="X31" s="24">
        <v>4.0268456375838921</v>
      </c>
      <c r="Y31" s="60">
        <f>SUM(U31:X31)</f>
        <v>67.785234899328856</v>
      </c>
      <c r="Z31" s="24"/>
      <c r="AA31" s="24">
        <v>2.0134228187919461</v>
      </c>
      <c r="AB31" s="24">
        <v>19.463087248322147</v>
      </c>
      <c r="AC31" s="24">
        <v>15.838926174496644</v>
      </c>
      <c r="AD31" s="94">
        <v>12.751677852348992</v>
      </c>
      <c r="AE31" s="60">
        <f>SUM(AA31:AD31)</f>
        <v>50.067114093959724</v>
      </c>
      <c r="AF31" s="24"/>
      <c r="AG31" s="24">
        <v>8.0536912751677843</v>
      </c>
      <c r="AH31" s="24">
        <v>10.872483221476509</v>
      </c>
      <c r="AI31" s="24">
        <v>19.060402684563758</v>
      </c>
      <c r="AJ31" s="94">
        <v>6.174496644295302</v>
      </c>
      <c r="AK31" s="60">
        <f>SUM(AG31:AJ31)</f>
        <v>44.161073825503351</v>
      </c>
      <c r="AL31" s="24"/>
      <c r="AM31" s="24">
        <v>3.8926174496644292</v>
      </c>
      <c r="AN31" s="24">
        <v>1.2080536912751678</v>
      </c>
      <c r="AO31" s="24">
        <v>9.5302013422818792</v>
      </c>
      <c r="AP31" s="94">
        <v>9.7986577181208059</v>
      </c>
      <c r="AQ31" s="60">
        <f>SUM(AM31:AP31)</f>
        <v>24.429530201342281</v>
      </c>
      <c r="AR31" s="24"/>
      <c r="AS31" s="24">
        <f>(-1+40)/7.45</f>
        <v>5.2348993288590604</v>
      </c>
      <c r="AT31" s="24">
        <v>6.0402684563758386</v>
      </c>
      <c r="AU31" s="24">
        <v>13.825503355704697</v>
      </c>
      <c r="AV31" s="94">
        <v>13.825503355704697</v>
      </c>
      <c r="AW31" s="60">
        <f>SUM(AS31:AV31)</f>
        <v>38.926174496644293</v>
      </c>
      <c r="AX31" s="24"/>
      <c r="AY31" s="24">
        <v>5.7718120805369129</v>
      </c>
      <c r="AZ31" s="24">
        <v>9.3959731543624159</v>
      </c>
      <c r="BA31" s="24">
        <v>13.825503355704697</v>
      </c>
      <c r="BB31" s="94">
        <f>(119+37)/7.45</f>
        <v>20.939597315436242</v>
      </c>
      <c r="BC31" s="60">
        <f>SUM(AY31:BB31)</f>
        <v>49.932885906040269</v>
      </c>
      <c r="BD31" s="24"/>
      <c r="BE31" s="24">
        <v>-0.80536912751677847</v>
      </c>
      <c r="BF31" s="24">
        <v>1.8791946308724832</v>
      </c>
      <c r="BG31" s="24">
        <v>12.080536912751677</v>
      </c>
      <c r="BH31" s="94">
        <v>10.872483221476509</v>
      </c>
      <c r="BI31" s="60">
        <f>SUM(BE31:BH31)</f>
        <v>24.026845637583889</v>
      </c>
      <c r="BJ31" s="24"/>
      <c r="BK31" s="24">
        <v>9.3959731543624159</v>
      </c>
      <c r="BL31" s="24">
        <v>28.053691275167786</v>
      </c>
      <c r="BM31" s="24">
        <v>9.7986577181208059</v>
      </c>
      <c r="BN31" s="94">
        <v>6.6</v>
      </c>
      <c r="BO31" s="60">
        <f>SUM(BK31:BN31)</f>
        <v>53.848322147651011</v>
      </c>
      <c r="BP31" s="24"/>
      <c r="BQ31" s="24">
        <v>9.6999999999999993</v>
      </c>
      <c r="BR31" s="24">
        <v>19.399999999999999</v>
      </c>
      <c r="BS31" s="24">
        <v>-11.6</v>
      </c>
      <c r="BT31" s="94">
        <v>8.6999999999999993</v>
      </c>
      <c r="BU31" s="60">
        <f>SUM(BQ31:BT31)</f>
        <v>26.2</v>
      </c>
      <c r="BV31" s="24"/>
      <c r="BW31" s="24">
        <v>3.2</v>
      </c>
      <c r="BX31" s="24">
        <v>37.799999999999997</v>
      </c>
      <c r="BY31" s="24">
        <v>36.299999999999997</v>
      </c>
      <c r="BZ31" s="94">
        <f>93.4-77.3</f>
        <v>16.100000000000009</v>
      </c>
      <c r="CA31" s="60">
        <f>SUM(BW31:BZ31)</f>
        <v>93.4</v>
      </c>
      <c r="CB31" s="24"/>
      <c r="CC31" s="24">
        <v>17.3</v>
      </c>
      <c r="CD31" s="24">
        <v>24.6</v>
      </c>
      <c r="CE31" s="24">
        <v>16.3</v>
      </c>
      <c r="CF31" s="94">
        <v>-17.399999999999999</v>
      </c>
      <c r="CG31" s="60">
        <f>SUM(CC31:CF31)</f>
        <v>40.800000000000004</v>
      </c>
      <c r="CH31" s="24"/>
      <c r="CI31" s="24">
        <v>0.6</v>
      </c>
      <c r="CJ31" s="24">
        <v>5.5</v>
      </c>
      <c r="CK31" s="24">
        <v>2</v>
      </c>
      <c r="CL31" s="94">
        <v>-5</v>
      </c>
      <c r="CM31" s="60">
        <f>SUM(CI31:CL31)</f>
        <v>3.0999999999999996</v>
      </c>
    </row>
    <row r="32" spans="1:91" x14ac:dyDescent="0.2">
      <c r="A32" s="2" t="s">
        <v>84</v>
      </c>
      <c r="C32" s="24">
        <v>13.557046979865772</v>
      </c>
      <c r="D32" s="24">
        <v>15.973154362416107</v>
      </c>
      <c r="E32" s="24">
        <v>15.302013422818792</v>
      </c>
      <c r="F32" s="24">
        <v>18.120805369127517</v>
      </c>
      <c r="G32" s="60">
        <f t="shared" ref="G32:G37" si="16">SUM(C32:F32)</f>
        <v>62.95302013422819</v>
      </c>
      <c r="H32" s="24"/>
      <c r="I32" s="24">
        <v>15.70469798657718</v>
      </c>
      <c r="J32" s="24">
        <v>36.107382550335572</v>
      </c>
      <c r="K32" s="24">
        <v>16.912751677852349</v>
      </c>
      <c r="L32" s="24">
        <v>16.644295302013422</v>
      </c>
      <c r="M32" s="60">
        <f t="shared" ref="M32:M37" si="17">SUM(I32:L32)</f>
        <v>85.369127516778519</v>
      </c>
      <c r="N32" s="24"/>
      <c r="O32" s="24">
        <v>19.597315436241612</v>
      </c>
      <c r="P32" s="24">
        <v>23.355704697986578</v>
      </c>
      <c r="Q32" s="24">
        <v>17.986577181208052</v>
      </c>
      <c r="R32" s="24">
        <v>24.161073825503355</v>
      </c>
      <c r="S32" s="60">
        <f t="shared" ref="S32:S37" si="18">SUM(O32:R32)</f>
        <v>85.100671140939596</v>
      </c>
      <c r="T32" s="24"/>
      <c r="U32" s="24">
        <v>20.671140939597315</v>
      </c>
      <c r="V32" s="24">
        <v>25.906040268456376</v>
      </c>
      <c r="W32" s="24">
        <v>14.093959731543624</v>
      </c>
      <c r="X32" s="24">
        <v>14.899328859060402</v>
      </c>
      <c r="Y32" s="60">
        <f t="shared" ref="Y32:Y37" si="19">SUM(U32:X32)</f>
        <v>75.570469798657712</v>
      </c>
      <c r="Z32" s="24"/>
      <c r="AA32" s="24">
        <v>11.409395973154362</v>
      </c>
      <c r="AB32" s="24">
        <v>9.1275167785234892</v>
      </c>
      <c r="AC32" s="24">
        <v>11.140939597315436</v>
      </c>
      <c r="AD32" s="94">
        <v>10.872483221476509</v>
      </c>
      <c r="AE32" s="60">
        <f t="shared" ref="AE32:AE37" si="20">SUM(AA32:AD32)</f>
        <v>42.550335570469798</v>
      </c>
      <c r="AF32" s="24"/>
      <c r="AG32" s="24">
        <v>20.134228187919462</v>
      </c>
      <c r="AH32" s="24">
        <v>22.416107382550337</v>
      </c>
      <c r="AI32" s="24">
        <v>13.95973154362416</v>
      </c>
      <c r="AJ32" s="94">
        <v>14.093959731543624</v>
      </c>
      <c r="AK32" s="60">
        <f t="shared" ref="AK32:AK37" si="21">SUM(AG32:AJ32)</f>
        <v>70.604026845637577</v>
      </c>
      <c r="AL32" s="24"/>
      <c r="AM32" s="24">
        <v>23.48993288590604</v>
      </c>
      <c r="AN32" s="24">
        <v>25.906040268456376</v>
      </c>
      <c r="AO32" s="24">
        <v>21.073825503355703</v>
      </c>
      <c r="AP32" s="94">
        <v>23.355704697986578</v>
      </c>
      <c r="AQ32" s="60">
        <f t="shared" ref="AQ32:AQ37" si="22">SUM(AM32:AP32)</f>
        <v>93.825503355704697</v>
      </c>
      <c r="AR32" s="24"/>
      <c r="AS32" s="24">
        <v>26.174496644295303</v>
      </c>
      <c r="AT32" s="24">
        <v>26.577181208053691</v>
      </c>
      <c r="AU32" s="24">
        <v>19.597315436241612</v>
      </c>
      <c r="AV32" s="94">
        <v>27.651006711409394</v>
      </c>
      <c r="AW32" s="60">
        <f t="shared" ref="AW32:AW37" si="23">SUM(AS32:AV32)</f>
        <v>100</v>
      </c>
      <c r="AX32" s="24"/>
      <c r="AY32" s="24">
        <v>25.234899328859061</v>
      </c>
      <c r="AZ32" s="24">
        <v>30.067114093959731</v>
      </c>
      <c r="BA32" s="24">
        <v>20.939597315436242</v>
      </c>
      <c r="BB32" s="94">
        <v>28.187919463087248</v>
      </c>
      <c r="BC32" s="60">
        <f t="shared" ref="BC32:BC37" si="24">SUM(AY32:BB32)</f>
        <v>104.42953020134229</v>
      </c>
      <c r="BD32" s="24"/>
      <c r="BE32" s="24">
        <v>41.610738255033553</v>
      </c>
      <c r="BF32" s="24">
        <v>29.261744966442951</v>
      </c>
      <c r="BG32" s="24">
        <v>18.926174496644293</v>
      </c>
      <c r="BH32" s="94">
        <v>30.469798657718119</v>
      </c>
      <c r="BI32" s="60">
        <f t="shared" ref="BI32:BI37" si="25">SUM(BE32:BH32)</f>
        <v>120.26845637583891</v>
      </c>
      <c r="BJ32" s="24"/>
      <c r="BK32" s="24">
        <v>24.429530201342281</v>
      </c>
      <c r="BL32" s="24">
        <v>28.724832214765101</v>
      </c>
      <c r="BM32" s="24">
        <v>21.476510067114095</v>
      </c>
      <c r="BN32" s="94">
        <v>23.3</v>
      </c>
      <c r="BO32" s="60">
        <f t="shared" ref="BO32:BO37" si="26">SUM(BK32:BN32)</f>
        <v>97.930872483221478</v>
      </c>
      <c r="BP32" s="24"/>
      <c r="BQ32" s="24">
        <v>27.201000000000001</v>
      </c>
      <c r="BR32" s="24">
        <v>32.5</v>
      </c>
      <c r="BS32" s="24">
        <v>17.5</v>
      </c>
      <c r="BT32" s="94">
        <v>19.600000000000001</v>
      </c>
      <c r="BU32" s="60">
        <f t="shared" ref="BU32:BU37" si="27">SUM(BQ32:BT32)</f>
        <v>96.800999999999988</v>
      </c>
      <c r="BV32" s="24"/>
      <c r="BW32" s="24">
        <v>30.9</v>
      </c>
      <c r="BX32" s="24">
        <v>33.200000000000003</v>
      </c>
      <c r="BY32" s="24">
        <v>19.100000000000001</v>
      </c>
      <c r="BZ32" s="94"/>
      <c r="CA32" s="60"/>
      <c r="CB32" s="24"/>
      <c r="CC32" s="24"/>
      <c r="CD32" s="24"/>
      <c r="CE32" s="24"/>
      <c r="CF32" s="94"/>
      <c r="CG32" s="60"/>
      <c r="CH32" s="24"/>
      <c r="CI32" s="24"/>
      <c r="CJ32" s="24"/>
      <c r="CK32" s="24"/>
      <c r="CL32" s="94"/>
      <c r="CM32" s="60"/>
    </row>
    <row r="33" spans="1:91" hidden="1" x14ac:dyDescent="0.2">
      <c r="A33" s="2" t="s">
        <v>26</v>
      </c>
      <c r="C33" s="24">
        <v>0.53691275167785235</v>
      </c>
      <c r="D33" s="24">
        <v>0.26845637583892618</v>
      </c>
      <c r="E33" s="24">
        <v>0</v>
      </c>
      <c r="F33" s="24">
        <v>0.13422818791946309</v>
      </c>
      <c r="G33" s="60">
        <f t="shared" si="16"/>
        <v>0.93959731543624159</v>
      </c>
      <c r="H33" s="24"/>
      <c r="I33" s="24">
        <v>0</v>
      </c>
      <c r="J33" s="24">
        <v>0</v>
      </c>
      <c r="K33" s="24">
        <v>0</v>
      </c>
      <c r="L33" s="24">
        <v>0</v>
      </c>
      <c r="M33" s="60">
        <f t="shared" si="17"/>
        <v>0</v>
      </c>
      <c r="N33" s="24"/>
      <c r="O33" s="24">
        <v>0</v>
      </c>
      <c r="P33" s="24">
        <v>0</v>
      </c>
      <c r="Q33" s="24">
        <v>0</v>
      </c>
      <c r="R33" s="24" t="s">
        <v>47</v>
      </c>
      <c r="S33" s="60">
        <f t="shared" si="18"/>
        <v>0</v>
      </c>
      <c r="T33" s="24"/>
      <c r="U33" s="24">
        <v>0</v>
      </c>
      <c r="V33" s="24">
        <v>0</v>
      </c>
      <c r="W33" s="24">
        <v>0</v>
      </c>
      <c r="X33" s="24">
        <v>0</v>
      </c>
      <c r="Y33" s="60">
        <f t="shared" si="19"/>
        <v>0</v>
      </c>
      <c r="Z33" s="24"/>
      <c r="AA33" s="24">
        <v>0</v>
      </c>
      <c r="AB33" s="24">
        <v>0</v>
      </c>
      <c r="AC33" s="24">
        <v>0</v>
      </c>
      <c r="AD33" s="94">
        <v>0</v>
      </c>
      <c r="AE33" s="60">
        <f t="shared" si="20"/>
        <v>0</v>
      </c>
      <c r="AF33" s="24"/>
      <c r="AG33" s="24">
        <v>0</v>
      </c>
      <c r="AH33" s="24">
        <v>0</v>
      </c>
      <c r="AI33" s="24">
        <v>0</v>
      </c>
      <c r="AJ33" s="94">
        <v>0</v>
      </c>
      <c r="AK33" s="60">
        <f t="shared" si="21"/>
        <v>0</v>
      </c>
      <c r="AL33" s="24"/>
      <c r="AM33" s="24">
        <v>0</v>
      </c>
      <c r="AN33" s="24">
        <v>0</v>
      </c>
      <c r="AO33" s="24">
        <v>0</v>
      </c>
      <c r="AP33" s="94">
        <v>0</v>
      </c>
      <c r="AQ33" s="60">
        <f t="shared" si="22"/>
        <v>0</v>
      </c>
      <c r="AR33" s="24"/>
      <c r="AS33" s="24">
        <v>0</v>
      </c>
      <c r="AT33" s="24">
        <v>0</v>
      </c>
      <c r="AU33" s="24">
        <v>0</v>
      </c>
      <c r="AV33" s="94">
        <v>0</v>
      </c>
      <c r="AW33" s="60">
        <f t="shared" si="23"/>
        <v>0</v>
      </c>
      <c r="AX33" s="24"/>
      <c r="AY33" s="24"/>
      <c r="AZ33" s="24"/>
      <c r="BA33" s="24"/>
      <c r="BB33" s="94"/>
      <c r="BC33" s="60">
        <f t="shared" si="24"/>
        <v>0</v>
      </c>
      <c r="BD33" s="24"/>
      <c r="BE33" s="24"/>
      <c r="BF33" s="24"/>
      <c r="BG33" s="24"/>
      <c r="BH33" s="94"/>
      <c r="BI33" s="60">
        <f t="shared" si="25"/>
        <v>0</v>
      </c>
      <c r="BJ33" s="24"/>
      <c r="BK33" s="24"/>
      <c r="BL33" s="24"/>
      <c r="BM33" s="24"/>
      <c r="BN33" s="94"/>
      <c r="BO33" s="60">
        <f t="shared" si="26"/>
        <v>0</v>
      </c>
      <c r="BP33" s="24"/>
      <c r="BQ33" s="24"/>
      <c r="BR33" s="24"/>
      <c r="BS33" s="24"/>
      <c r="BT33" s="94"/>
      <c r="BU33" s="60">
        <f t="shared" si="27"/>
        <v>0</v>
      </c>
      <c r="BV33" s="24"/>
      <c r="BW33" s="24"/>
      <c r="BX33" s="24"/>
      <c r="BY33" s="24"/>
      <c r="BZ33" s="94"/>
      <c r="CA33" s="60">
        <f t="shared" ref="CA33:CA36" si="28">SUM(BW33:BZ33)</f>
        <v>0</v>
      </c>
      <c r="CB33" s="24"/>
      <c r="CC33" s="24"/>
      <c r="CD33" s="24"/>
      <c r="CE33" s="24"/>
      <c r="CF33" s="94"/>
      <c r="CG33" s="60">
        <f t="shared" ref="CG33:CG37" si="29">SUM(CC33:CF33)</f>
        <v>0</v>
      </c>
      <c r="CH33" s="24"/>
      <c r="CI33" s="24"/>
      <c r="CJ33" s="24"/>
      <c r="CK33" s="24"/>
      <c r="CL33" s="94"/>
      <c r="CM33" s="60">
        <f t="shared" ref="CM33:CM37" si="30">SUM(CI33:CL33)</f>
        <v>0</v>
      </c>
    </row>
    <row r="34" spans="1:91" x14ac:dyDescent="0.2">
      <c r="A34" s="2" t="s">
        <v>74</v>
      </c>
      <c r="C34" s="24">
        <v>-0.53691275167785235</v>
      </c>
      <c r="D34" s="24">
        <v>-0.13422818791946309</v>
      </c>
      <c r="E34" s="24">
        <v>0.13422818791946309</v>
      </c>
      <c r="F34" s="24">
        <v>1.8791946308724832</v>
      </c>
      <c r="G34" s="60">
        <f t="shared" si="16"/>
        <v>1.3422818791946307</v>
      </c>
      <c r="H34" s="24"/>
      <c r="I34" s="24">
        <v>0.80536912751677847</v>
      </c>
      <c r="J34" s="24">
        <v>2.1476510067114094</v>
      </c>
      <c r="K34" s="24">
        <v>2.0134228187919461</v>
      </c>
      <c r="L34" s="24">
        <v>2.1476510067114094</v>
      </c>
      <c r="M34" s="60">
        <f t="shared" si="17"/>
        <v>7.1140939597315445</v>
      </c>
      <c r="N34" s="24"/>
      <c r="O34" s="24">
        <v>2.1476510067114094</v>
      </c>
      <c r="P34" s="24">
        <v>4.6979865771812079</v>
      </c>
      <c r="Q34" s="24">
        <v>2.8187919463087248</v>
      </c>
      <c r="R34" s="24">
        <v>6.5771812080536911</v>
      </c>
      <c r="S34" s="60">
        <f t="shared" si="18"/>
        <v>16.241610738255034</v>
      </c>
      <c r="T34" s="24"/>
      <c r="U34" s="24">
        <v>6.3087248322147653</v>
      </c>
      <c r="V34" s="24">
        <v>12.214765100671141</v>
      </c>
      <c r="W34" s="24">
        <v>10.201342281879194</v>
      </c>
      <c r="X34" s="24">
        <v>1.0738255033557047</v>
      </c>
      <c r="Y34" s="60">
        <f t="shared" si="19"/>
        <v>29.798657718120804</v>
      </c>
      <c r="Z34" s="24"/>
      <c r="AA34" s="24">
        <v>4.9664429530201337</v>
      </c>
      <c r="AB34" s="24">
        <v>5.7718120805369129</v>
      </c>
      <c r="AC34" s="24">
        <v>5.2348993288590604</v>
      </c>
      <c r="AD34" s="94">
        <v>2.2818791946308723</v>
      </c>
      <c r="AE34" s="60">
        <f t="shared" si="20"/>
        <v>18.255033557046978</v>
      </c>
      <c r="AF34" s="24"/>
      <c r="AG34" s="24">
        <v>2.1476510067114094</v>
      </c>
      <c r="AH34" s="24">
        <v>3.087248322147651</v>
      </c>
      <c r="AI34" s="24">
        <v>2.4161073825503356</v>
      </c>
      <c r="AJ34" s="94">
        <v>4.4295302013422821</v>
      </c>
      <c r="AK34" s="60">
        <f t="shared" si="21"/>
        <v>12.080536912751679</v>
      </c>
      <c r="AL34" s="24"/>
      <c r="AM34" s="24">
        <v>3.7583892617449663</v>
      </c>
      <c r="AN34" s="24">
        <v>2.8187919463087248</v>
      </c>
      <c r="AO34" s="24">
        <v>12.080536912751677</v>
      </c>
      <c r="AP34" s="24">
        <v>2.5503355704697985</v>
      </c>
      <c r="AQ34" s="60">
        <f t="shared" si="22"/>
        <v>21.208053691275168</v>
      </c>
      <c r="AR34" s="24"/>
      <c r="AS34" s="103">
        <v>0</v>
      </c>
      <c r="AT34" s="103">
        <v>0</v>
      </c>
      <c r="AU34" s="24">
        <v>0</v>
      </c>
      <c r="AV34" s="94">
        <v>0</v>
      </c>
      <c r="AW34" s="60">
        <f t="shared" si="23"/>
        <v>0</v>
      </c>
      <c r="AX34" s="24"/>
      <c r="AY34" s="103"/>
      <c r="AZ34" s="103"/>
      <c r="BA34" s="24"/>
      <c r="BB34" s="94"/>
      <c r="BC34" s="60">
        <f t="shared" si="24"/>
        <v>0</v>
      </c>
      <c r="BD34" s="24"/>
      <c r="BE34" s="103"/>
      <c r="BF34" s="103"/>
      <c r="BG34" s="24"/>
      <c r="BH34" s="94"/>
      <c r="BI34" s="60">
        <f t="shared" si="25"/>
        <v>0</v>
      </c>
      <c r="BJ34" s="24"/>
      <c r="BK34" s="103"/>
      <c r="BL34" s="103"/>
      <c r="BM34" s="24"/>
      <c r="BN34" s="94"/>
      <c r="BO34" s="60">
        <f t="shared" si="26"/>
        <v>0</v>
      </c>
      <c r="BP34" s="24"/>
      <c r="BQ34" s="103"/>
      <c r="BR34" s="103"/>
      <c r="BS34" s="24"/>
      <c r="BT34" s="94"/>
      <c r="BU34" s="60">
        <f t="shared" si="27"/>
        <v>0</v>
      </c>
      <c r="BV34" s="24"/>
      <c r="BW34" s="103"/>
      <c r="BX34" s="103"/>
      <c r="BY34" s="24"/>
      <c r="BZ34" s="94"/>
      <c r="CA34" s="60">
        <f>SUM(BW34:BZ34)</f>
        <v>0</v>
      </c>
      <c r="CB34" s="24"/>
      <c r="CC34" s="103"/>
      <c r="CD34" s="103"/>
      <c r="CE34" s="24"/>
      <c r="CF34" s="94"/>
      <c r="CG34" s="60">
        <f t="shared" si="29"/>
        <v>0</v>
      </c>
      <c r="CH34" s="24"/>
      <c r="CI34" s="103"/>
      <c r="CJ34" s="103"/>
      <c r="CK34" s="24"/>
      <c r="CL34" s="94"/>
      <c r="CM34" s="60">
        <f t="shared" si="30"/>
        <v>0</v>
      </c>
    </row>
    <row r="35" spans="1:91" x14ac:dyDescent="0.2">
      <c r="A35" s="2" t="s">
        <v>140</v>
      </c>
      <c r="C35" s="24">
        <v>0</v>
      </c>
      <c r="D35" s="24">
        <v>-0.53691275167785235</v>
      </c>
      <c r="E35" s="24">
        <v>-0.13422818791946309</v>
      </c>
      <c r="F35" s="24">
        <v>-0.40268456375838924</v>
      </c>
      <c r="G35" s="60">
        <f t="shared" si="16"/>
        <v>-1.0738255033557047</v>
      </c>
      <c r="H35" s="24"/>
      <c r="I35" s="24">
        <v>-0.67114093959731547</v>
      </c>
      <c r="J35" s="24">
        <v>-0.80536912751677847</v>
      </c>
      <c r="K35" s="24">
        <v>-0.93959731543624159</v>
      </c>
      <c r="L35" s="24">
        <v>0</v>
      </c>
      <c r="M35" s="60">
        <f t="shared" si="17"/>
        <v>-2.4161073825503356</v>
      </c>
      <c r="N35" s="24"/>
      <c r="O35" s="24">
        <v>-1.2080536912751678</v>
      </c>
      <c r="P35" s="24">
        <v>-0.26845637583892618</v>
      </c>
      <c r="Q35" s="24">
        <v>-0.40268456375838924</v>
      </c>
      <c r="R35" s="24">
        <v>-0.53691275167785235</v>
      </c>
      <c r="S35" s="60">
        <f t="shared" si="18"/>
        <v>-2.4161073825503356</v>
      </c>
      <c r="T35" s="24"/>
      <c r="U35" s="24">
        <v>-1.7449664429530201</v>
      </c>
      <c r="V35" s="24">
        <v>0</v>
      </c>
      <c r="W35" s="24">
        <v>-0.67114093959731547</v>
      </c>
      <c r="X35" s="24">
        <v>-1.6107382550335569</v>
      </c>
      <c r="Y35" s="60">
        <f t="shared" si="19"/>
        <v>-4.026845637583893</v>
      </c>
      <c r="Z35" s="24"/>
      <c r="AA35" s="24">
        <v>-1.0738255033557047</v>
      </c>
      <c r="AB35" s="24">
        <v>-1.6107382550335569</v>
      </c>
      <c r="AC35" s="24">
        <v>-1.2080536912751678</v>
      </c>
      <c r="AD35" s="94">
        <v>-0.26845637583892618</v>
      </c>
      <c r="AE35" s="60">
        <f t="shared" si="20"/>
        <v>-4.1610738255033555</v>
      </c>
      <c r="AF35" s="24"/>
      <c r="AG35" s="24">
        <v>-0.80536912751677847</v>
      </c>
      <c r="AH35" s="24">
        <v>-0.67114093959731547</v>
      </c>
      <c r="AI35" s="24">
        <v>-0.26845637583892618</v>
      </c>
      <c r="AJ35" s="94">
        <v>0.26845637583892618</v>
      </c>
      <c r="AK35" s="60">
        <f t="shared" si="21"/>
        <v>-1.476510067114094</v>
      </c>
      <c r="AL35" s="24"/>
      <c r="AM35" s="24">
        <v>-1.0738255033557047</v>
      </c>
      <c r="AN35" s="24">
        <v>-0.13422818791946309</v>
      </c>
      <c r="AO35" s="24">
        <v>0.40268456375838924</v>
      </c>
      <c r="AP35" s="94">
        <v>0.93959731543624159</v>
      </c>
      <c r="AQ35" s="60">
        <f t="shared" si="22"/>
        <v>0.134228187919463</v>
      </c>
      <c r="AR35" s="24"/>
      <c r="AS35" s="24">
        <v>-0.13422818791946309</v>
      </c>
      <c r="AT35" s="24">
        <v>-0.53691275167785235</v>
      </c>
      <c r="AU35" s="24">
        <v>-0.13422818791946309</v>
      </c>
      <c r="AV35" s="94">
        <v>2.0134228187919461</v>
      </c>
      <c r="AW35" s="60">
        <f t="shared" si="23"/>
        <v>1.2080536912751674</v>
      </c>
      <c r="AX35" s="24"/>
      <c r="AY35" s="24">
        <v>-0.67114093959731547</v>
      </c>
      <c r="AZ35" s="24">
        <v>-0.13422818791946309</v>
      </c>
      <c r="BA35" s="24">
        <v>0.26845637583892618</v>
      </c>
      <c r="BB35" s="94">
        <v>1.3422818791946309</v>
      </c>
      <c r="BC35" s="60">
        <f t="shared" si="24"/>
        <v>0.80536912751677847</v>
      </c>
      <c r="BD35" s="24"/>
      <c r="BE35" s="24">
        <v>0</v>
      </c>
      <c r="BF35" s="24">
        <v>-0.26845637583892618</v>
      </c>
      <c r="BG35" s="24">
        <v>0.13422818791946309</v>
      </c>
      <c r="BH35" s="94">
        <v>2.9530201342281877</v>
      </c>
      <c r="BI35" s="60">
        <f t="shared" si="25"/>
        <v>2.8187919463087248</v>
      </c>
      <c r="BJ35" s="24"/>
      <c r="BK35" s="24">
        <v>-0.13422818791946309</v>
      </c>
      <c r="BL35" s="24">
        <v>-1.0738255033557047</v>
      </c>
      <c r="BM35" s="24">
        <v>1.8791946308724832</v>
      </c>
      <c r="BN35" s="94">
        <v>3</v>
      </c>
      <c r="BO35" s="60">
        <f t="shared" si="26"/>
        <v>3.6711409395973154</v>
      </c>
      <c r="BP35" s="24"/>
      <c r="BQ35" s="24">
        <v>-0.3</v>
      </c>
      <c r="BR35" s="24">
        <v>-0.3</v>
      </c>
      <c r="BS35" s="24">
        <v>0.9</v>
      </c>
      <c r="BT35" s="94">
        <v>6</v>
      </c>
      <c r="BU35" s="60">
        <f t="shared" si="27"/>
        <v>6.3</v>
      </c>
      <c r="BV35" s="24"/>
      <c r="BW35" s="24">
        <v>-2.1</v>
      </c>
      <c r="BX35" s="24">
        <v>0.7</v>
      </c>
      <c r="BY35" s="24">
        <v>-0.8</v>
      </c>
      <c r="BZ35" s="94">
        <f>3.5+2.2</f>
        <v>5.7</v>
      </c>
      <c r="CA35" s="60">
        <f>SUM(BW35:BZ35)</f>
        <v>3.5</v>
      </c>
      <c r="CB35" s="24"/>
      <c r="CC35" s="24">
        <v>-1.5</v>
      </c>
      <c r="CD35" s="24">
        <v>1</v>
      </c>
      <c r="CE35" s="24">
        <v>1.5</v>
      </c>
      <c r="CF35" s="94">
        <v>8</v>
      </c>
      <c r="CG35" s="60">
        <f t="shared" si="29"/>
        <v>9</v>
      </c>
      <c r="CH35" s="24"/>
      <c r="CI35" s="24">
        <v>-0.4</v>
      </c>
      <c r="CJ35" s="24">
        <v>3.9</v>
      </c>
      <c r="CK35" s="24">
        <v>3.9</v>
      </c>
      <c r="CL35" s="94">
        <v>7.2</v>
      </c>
      <c r="CM35" s="60">
        <f t="shared" si="30"/>
        <v>14.600000000000001</v>
      </c>
    </row>
    <row r="36" spans="1:91" hidden="1" x14ac:dyDescent="0.2">
      <c r="A36" s="2" t="s">
        <v>30</v>
      </c>
      <c r="C36" s="24">
        <v>0</v>
      </c>
      <c r="D36" s="24">
        <v>0</v>
      </c>
      <c r="E36" s="24">
        <v>0</v>
      </c>
      <c r="F36" s="24">
        <v>0</v>
      </c>
      <c r="G36" s="60">
        <f t="shared" si="16"/>
        <v>0</v>
      </c>
      <c r="H36" s="24"/>
      <c r="I36" s="24">
        <v>0</v>
      </c>
      <c r="J36" s="24">
        <v>0</v>
      </c>
      <c r="K36" s="24">
        <v>0</v>
      </c>
      <c r="L36" s="24">
        <v>0</v>
      </c>
      <c r="M36" s="60">
        <f t="shared" si="17"/>
        <v>0</v>
      </c>
      <c r="N36" s="24"/>
      <c r="O36" s="24">
        <v>0</v>
      </c>
      <c r="P36" s="24">
        <v>0</v>
      </c>
      <c r="Q36" s="24">
        <v>0</v>
      </c>
      <c r="R36" s="24">
        <v>0</v>
      </c>
      <c r="S36" s="60">
        <f t="shared" si="18"/>
        <v>0</v>
      </c>
      <c r="T36" s="24"/>
      <c r="U36" s="24">
        <v>0</v>
      </c>
      <c r="V36" s="24">
        <v>0</v>
      </c>
      <c r="W36" s="24">
        <v>0</v>
      </c>
      <c r="X36" s="24">
        <v>0</v>
      </c>
      <c r="Y36" s="60">
        <f t="shared" si="19"/>
        <v>0</v>
      </c>
      <c r="Z36" s="24"/>
      <c r="AA36" s="24">
        <v>0</v>
      </c>
      <c r="AB36" s="24">
        <v>0</v>
      </c>
      <c r="AC36" s="24">
        <v>0</v>
      </c>
      <c r="AD36" s="94">
        <v>0</v>
      </c>
      <c r="AE36" s="60">
        <f t="shared" si="20"/>
        <v>0</v>
      </c>
      <c r="AF36" s="24"/>
      <c r="AG36" s="24">
        <v>0</v>
      </c>
      <c r="AH36" s="24">
        <v>0</v>
      </c>
      <c r="AI36" s="24">
        <v>0</v>
      </c>
      <c r="AJ36" s="94">
        <v>0</v>
      </c>
      <c r="AK36" s="60">
        <f t="shared" si="21"/>
        <v>0</v>
      </c>
      <c r="AL36" s="24"/>
      <c r="AM36" s="24">
        <v>0</v>
      </c>
      <c r="AN36" s="24">
        <v>0</v>
      </c>
      <c r="AO36" s="24">
        <v>0</v>
      </c>
      <c r="AP36" s="94">
        <v>0</v>
      </c>
      <c r="AQ36" s="60">
        <f t="shared" si="22"/>
        <v>0</v>
      </c>
      <c r="AR36" s="24"/>
      <c r="AS36" s="24">
        <v>0</v>
      </c>
      <c r="AT36" s="24">
        <v>0</v>
      </c>
      <c r="AU36" s="24">
        <v>0</v>
      </c>
      <c r="AV36" s="94">
        <v>0</v>
      </c>
      <c r="AW36" s="60">
        <f t="shared" si="23"/>
        <v>0</v>
      </c>
      <c r="AX36" s="24"/>
      <c r="AY36" s="24">
        <v>0</v>
      </c>
      <c r="AZ36" s="24">
        <v>0</v>
      </c>
      <c r="BA36" s="24">
        <v>0</v>
      </c>
      <c r="BB36" s="94">
        <v>0</v>
      </c>
      <c r="BC36" s="60">
        <f t="shared" si="24"/>
        <v>0</v>
      </c>
      <c r="BD36" s="24"/>
      <c r="BE36" s="24">
        <v>0</v>
      </c>
      <c r="BF36" s="24">
        <v>0</v>
      </c>
      <c r="BG36" s="24">
        <v>0</v>
      </c>
      <c r="BH36" s="94">
        <v>0</v>
      </c>
      <c r="BI36" s="60">
        <f t="shared" si="25"/>
        <v>0</v>
      </c>
      <c r="BJ36" s="24"/>
      <c r="BK36" s="24">
        <v>0</v>
      </c>
      <c r="BL36" s="24">
        <v>0</v>
      </c>
      <c r="BM36" s="24">
        <v>0</v>
      </c>
      <c r="BN36" s="94"/>
      <c r="BO36" s="60">
        <f t="shared" si="26"/>
        <v>0</v>
      </c>
      <c r="BP36" s="24"/>
      <c r="BQ36" s="24">
        <v>0</v>
      </c>
      <c r="BR36" s="24"/>
      <c r="BS36" s="24"/>
      <c r="BT36" s="94"/>
      <c r="BU36" s="60">
        <f t="shared" si="27"/>
        <v>0</v>
      </c>
      <c r="BV36" s="24"/>
      <c r="BW36" s="24">
        <v>0</v>
      </c>
      <c r="BX36" s="24"/>
      <c r="BY36" s="24"/>
      <c r="BZ36" s="94"/>
      <c r="CA36" s="60">
        <f t="shared" si="28"/>
        <v>0</v>
      </c>
      <c r="CB36" s="24"/>
      <c r="CC36" s="24">
        <v>0</v>
      </c>
      <c r="CD36" s="24"/>
      <c r="CE36" s="24"/>
      <c r="CF36" s="94"/>
      <c r="CG36" s="60">
        <f t="shared" si="29"/>
        <v>0</v>
      </c>
      <c r="CH36" s="24"/>
      <c r="CI36" s="24">
        <v>0</v>
      </c>
      <c r="CJ36" s="24"/>
      <c r="CK36" s="24"/>
      <c r="CL36" s="94"/>
      <c r="CM36" s="60">
        <f t="shared" si="30"/>
        <v>0</v>
      </c>
    </row>
    <row r="37" spans="1:91" x14ac:dyDescent="0.2">
      <c r="A37" s="2" t="s">
        <v>50</v>
      </c>
      <c r="C37" s="24">
        <v>0.13422818791946309</v>
      </c>
      <c r="D37" s="24">
        <v>-0.53691275167785235</v>
      </c>
      <c r="E37" s="24">
        <v>-0.40268456375838924</v>
      </c>
      <c r="F37" s="24">
        <v>-0.13422818791946309</v>
      </c>
      <c r="G37" s="60">
        <f t="shared" si="16"/>
        <v>-0.93959731543624159</v>
      </c>
      <c r="H37" s="24"/>
      <c r="I37" s="24">
        <v>-0.53691275167785235</v>
      </c>
      <c r="J37" s="24">
        <v>-0.67114093959731547</v>
      </c>
      <c r="K37" s="24">
        <v>0.13422818791946309</v>
      </c>
      <c r="L37" s="24">
        <v>-0.53691275167785235</v>
      </c>
      <c r="M37" s="60">
        <f t="shared" si="17"/>
        <v>-1.6107382550335569</v>
      </c>
      <c r="N37" s="24"/>
      <c r="O37" s="24">
        <v>-0.40268456375838924</v>
      </c>
      <c r="P37" s="24">
        <v>-0.67114093959731547</v>
      </c>
      <c r="Q37" s="24">
        <v>-0.80536912751677847</v>
      </c>
      <c r="R37" s="24">
        <v>-1.2080536912751678</v>
      </c>
      <c r="S37" s="60">
        <f t="shared" si="18"/>
        <v>-3.087248322147651</v>
      </c>
      <c r="T37" s="24"/>
      <c r="U37" s="24">
        <v>-0.80536912751677847</v>
      </c>
      <c r="V37" s="24">
        <v>-1.8791946308724832</v>
      </c>
      <c r="W37" s="24">
        <v>-1.0738255033557047</v>
      </c>
      <c r="X37" s="24">
        <v>-1.8791946308724832</v>
      </c>
      <c r="Y37" s="60">
        <f t="shared" si="19"/>
        <v>-5.6375838926174495</v>
      </c>
      <c r="Z37" s="24"/>
      <c r="AA37" s="24">
        <v>-0.26845637583892618</v>
      </c>
      <c r="AB37" s="24">
        <v>-0.93959731543624159</v>
      </c>
      <c r="AC37" s="24">
        <v>-0.80536912751677847</v>
      </c>
      <c r="AD37" s="94">
        <v>0.40268456375838924</v>
      </c>
      <c r="AE37" s="60">
        <f t="shared" si="20"/>
        <v>-1.6107382550335574</v>
      </c>
      <c r="AF37" s="24"/>
      <c r="AG37" s="24">
        <v>-0.93959731543624159</v>
      </c>
      <c r="AH37" s="24">
        <v>-1.0738255033557047</v>
      </c>
      <c r="AI37" s="24">
        <v>-1.6107382550335569</v>
      </c>
      <c r="AJ37" s="94">
        <v>-1.0738255033557047</v>
      </c>
      <c r="AK37" s="60">
        <f t="shared" si="21"/>
        <v>-4.6979865771812079</v>
      </c>
      <c r="AL37" s="24"/>
      <c r="AM37" s="24">
        <v>-1.0738255033557047</v>
      </c>
      <c r="AN37" s="24">
        <v>-1.6107382550335569</v>
      </c>
      <c r="AO37" s="24">
        <v>-1.2080536912751678</v>
      </c>
      <c r="AP37" s="94">
        <v>-1.0738255033557047</v>
      </c>
      <c r="AQ37" s="60">
        <f t="shared" si="22"/>
        <v>-4.9664429530201337</v>
      </c>
      <c r="AR37" s="24"/>
      <c r="AS37" s="24">
        <f>(-6+1)/7.45</f>
        <v>-0.67114093959731547</v>
      </c>
      <c r="AT37" s="24">
        <v>-1.3422818791946309</v>
      </c>
      <c r="AU37" s="24">
        <v>-1.2080536912751678</v>
      </c>
      <c r="AV37" s="94">
        <v>-1.4765100671140938</v>
      </c>
      <c r="AW37" s="60">
        <f t="shared" si="23"/>
        <v>-4.6979865771812079</v>
      </c>
      <c r="AX37" s="24"/>
      <c r="AY37" s="24">
        <v>-1.2080536912751678</v>
      </c>
      <c r="AZ37" s="24">
        <v>-1.8791946308724832</v>
      </c>
      <c r="BA37" s="24">
        <v>-2.6845637583892619</v>
      </c>
      <c r="BB37" s="94">
        <v>-1.3422818791946309</v>
      </c>
      <c r="BC37" s="60">
        <f t="shared" si="24"/>
        <v>-7.1140939597315436</v>
      </c>
      <c r="BD37" s="24"/>
      <c r="BE37" s="24">
        <v>-1.0738255033557047</v>
      </c>
      <c r="BF37" s="24">
        <v>-1.0738255033557047</v>
      </c>
      <c r="BG37" s="24">
        <v>-0.80536912751677847</v>
      </c>
      <c r="BH37" s="94">
        <v>-1.7449664429530201</v>
      </c>
      <c r="BI37" s="60">
        <f t="shared" si="25"/>
        <v>-4.6979865771812079</v>
      </c>
      <c r="BJ37" s="24"/>
      <c r="BK37" s="24">
        <v>-0.80536912751677847</v>
      </c>
      <c r="BL37" s="24">
        <v>-1.0738255033557047</v>
      </c>
      <c r="BM37" s="24">
        <v>-0.93959731543624159</v>
      </c>
      <c r="BN37" s="94">
        <v>-0.6</v>
      </c>
      <c r="BO37" s="60">
        <f t="shared" si="26"/>
        <v>-3.4187919463087248</v>
      </c>
      <c r="BP37" s="24"/>
      <c r="BQ37" s="24">
        <v>-0.7</v>
      </c>
      <c r="BR37" s="24">
        <v>-0.8</v>
      </c>
      <c r="BS37" s="24">
        <v>-0.6</v>
      </c>
      <c r="BT37" s="94">
        <v>-2.5</v>
      </c>
      <c r="BU37" s="60">
        <f t="shared" si="27"/>
        <v>-4.5999999999999996</v>
      </c>
      <c r="BV37" s="24"/>
      <c r="BW37" s="24">
        <v>0</v>
      </c>
      <c r="BX37" s="24">
        <v>0</v>
      </c>
      <c r="BY37" s="24">
        <v>0</v>
      </c>
      <c r="BZ37" s="94">
        <v>0</v>
      </c>
      <c r="CA37" s="60">
        <f>SUM(BW37:BZ37)</f>
        <v>0</v>
      </c>
      <c r="CB37" s="24"/>
      <c r="CC37" s="24">
        <v>0</v>
      </c>
      <c r="CD37" s="24">
        <v>0</v>
      </c>
      <c r="CE37" s="24">
        <v>0</v>
      </c>
      <c r="CF37" s="94">
        <v>0</v>
      </c>
      <c r="CG37" s="60">
        <f t="shared" si="29"/>
        <v>0</v>
      </c>
      <c r="CH37" s="24"/>
      <c r="CI37" s="24">
        <v>0</v>
      </c>
      <c r="CJ37" s="24">
        <v>0</v>
      </c>
      <c r="CK37" s="24">
        <v>0</v>
      </c>
      <c r="CL37" s="94"/>
      <c r="CM37" s="60">
        <f t="shared" si="30"/>
        <v>0</v>
      </c>
    </row>
    <row r="38" spans="1:91" s="44" customFormat="1" ht="18.75" customHeight="1" x14ac:dyDescent="0.2">
      <c r="C38" s="95">
        <f>SUM(C30:C37)</f>
        <v>16.778523489932883</v>
      </c>
      <c r="D38" s="95">
        <f>SUM(D30:D37)</f>
        <v>23.355704697986578</v>
      </c>
      <c r="E38" s="95">
        <f>SUM(E30:E37)</f>
        <v>25.503355704697988</v>
      </c>
      <c r="F38" s="95">
        <f>SUM(F30:F37)</f>
        <v>30.067114093959734</v>
      </c>
      <c r="G38" s="96">
        <f>SUM(G30:G37)</f>
        <v>95.704697986577173</v>
      </c>
      <c r="H38" s="95"/>
      <c r="I38" s="95">
        <f>SUM(I30:I37)</f>
        <v>23.624161073825501</v>
      </c>
      <c r="J38" s="95">
        <f>SUM(J30:J37)</f>
        <v>50.067114093959731</v>
      </c>
      <c r="K38" s="95">
        <f>SUM(K30:K37)</f>
        <v>34.228187919463082</v>
      </c>
      <c r="L38" s="95">
        <f>SUM(L30:L37)</f>
        <v>29.261744966442951</v>
      </c>
      <c r="M38" s="96">
        <f>SUM(M30:M37)</f>
        <v>137.18120805369128</v>
      </c>
      <c r="N38" s="95"/>
      <c r="O38" s="95">
        <f>SUM(O30:O37)</f>
        <v>34.362416107382543</v>
      </c>
      <c r="P38" s="95">
        <f>SUM(P30:P37)</f>
        <v>53.288590604026858</v>
      </c>
      <c r="Q38" s="95">
        <f>SUM(Q30:Q37)</f>
        <v>44.697986577181197</v>
      </c>
      <c r="R38" s="95">
        <f>SUM(R30:R37)</f>
        <v>59.999999999999993</v>
      </c>
      <c r="S38" s="96">
        <f>SUM(S30:S37)</f>
        <v>192.34899328859058</v>
      </c>
      <c r="T38" s="95"/>
      <c r="U38" s="95">
        <f>SUM(U30:U37)</f>
        <v>40.939597315436245</v>
      </c>
      <c r="V38" s="95">
        <f>SUM(V30:V37)</f>
        <v>61.879194630872483</v>
      </c>
      <c r="W38" s="95">
        <f>SUM(W30:W37)</f>
        <v>44.161073825503351</v>
      </c>
      <c r="X38" s="95">
        <f>SUM(X30:X37)</f>
        <v>16.510067114093957</v>
      </c>
      <c r="Y38" s="96">
        <f>SUM(Y30:Y37)</f>
        <v>163.48993288590603</v>
      </c>
      <c r="Z38" s="95"/>
      <c r="AA38" s="95">
        <f>SUM(AA30:AA37)</f>
        <v>17.046979865771814</v>
      </c>
      <c r="AB38" s="95">
        <f>SUM(AB30:AB37)</f>
        <v>31.812080536912749</v>
      </c>
      <c r="AC38" s="95">
        <f>SUM(AC30:AC37)</f>
        <v>30.201342281879189</v>
      </c>
      <c r="AD38" s="95">
        <f>SUM(AD30:AD37)</f>
        <v>26.040268456375834</v>
      </c>
      <c r="AE38" s="96">
        <f>SUM(AE30:AE37)</f>
        <v>105.1006711409396</v>
      </c>
      <c r="AF38" s="95"/>
      <c r="AG38" s="95">
        <f>SUM(AG30:AG37)</f>
        <v>28.590604026845636</v>
      </c>
      <c r="AH38" s="95">
        <f>SUM(AH30:AH37)</f>
        <v>34.630872483221474</v>
      </c>
      <c r="AI38" s="95">
        <f>SUM(AI30:AI37)</f>
        <v>33.557046979865774</v>
      </c>
      <c r="AJ38" s="95">
        <f>SUM(AJ30:AJ37)</f>
        <v>23.892617449664431</v>
      </c>
      <c r="AK38" s="96">
        <f>SUM(AK30:AK37)</f>
        <v>120.67114093959731</v>
      </c>
      <c r="AL38" s="95"/>
      <c r="AM38" s="95">
        <f>SUM(AM30:AM37)</f>
        <v>28.993288590604028</v>
      </c>
      <c r="AN38" s="95">
        <f>SUM(AN30:AN37)</f>
        <v>28.187919463087251</v>
      </c>
      <c r="AO38" s="95">
        <f>SUM(AO30:AO37)</f>
        <v>41.879194630872483</v>
      </c>
      <c r="AP38" s="95">
        <f>SUM(AP30:AP37)</f>
        <v>35.570469798657712</v>
      </c>
      <c r="AQ38" s="96">
        <f>SUM(AQ30:AQ37)</f>
        <v>134.63087248322148</v>
      </c>
      <c r="AR38" s="95"/>
      <c r="AS38" s="95">
        <f>SUM(AS30:AS37)</f>
        <v>30.604026845637588</v>
      </c>
      <c r="AT38" s="95">
        <f>SUM(AT30:AT37)</f>
        <v>30.738255033557046</v>
      </c>
      <c r="AU38" s="95">
        <f>SUM(AU30:AU37)</f>
        <v>32.080536912751683</v>
      </c>
      <c r="AV38" s="95">
        <f>SUM(AV30:AV37)</f>
        <v>42.013422818791945</v>
      </c>
      <c r="AW38" s="96">
        <f>SUM(AW30:AW37)</f>
        <v>135.43624161073825</v>
      </c>
      <c r="AX38" s="95"/>
      <c r="AY38" s="95">
        <f>SUM(AY30:AY37)</f>
        <v>29.127516778523493</v>
      </c>
      <c r="AZ38" s="95">
        <f>SUM(AZ30:AZ37)</f>
        <v>37.449664429530202</v>
      </c>
      <c r="BA38" s="95">
        <f>SUM(BA30:BA37)</f>
        <v>32.348993288590606</v>
      </c>
      <c r="BB38" s="95">
        <f>SUM(BB30:BB37)</f>
        <v>49.127516778523486</v>
      </c>
      <c r="BC38" s="96">
        <f>SUM(BC30:BC37)</f>
        <v>148.05369127516778</v>
      </c>
      <c r="BD38" s="95"/>
      <c r="BE38" s="95">
        <f>SUM(BE30:BE37)</f>
        <v>39.73154362416107</v>
      </c>
      <c r="BF38" s="95">
        <f>SUM(BF30:BF37)</f>
        <v>29.798657718120804</v>
      </c>
      <c r="BG38" s="95">
        <f>SUM(BG30:BG37)</f>
        <v>30.33557046979865</v>
      </c>
      <c r="BH38" s="95">
        <f>SUM(BH30:BH37)</f>
        <v>42.550335570469798</v>
      </c>
      <c r="BI38" s="96">
        <f>SUM(BI30:BI37)</f>
        <v>142.41610738255031</v>
      </c>
      <c r="BJ38" s="95"/>
      <c r="BK38" s="95">
        <f>SUM(BK30:BK37)</f>
        <v>32.885906040268459</v>
      </c>
      <c r="BL38" s="95">
        <f>SUM(BL30:BL37)</f>
        <v>54.630872483221474</v>
      </c>
      <c r="BM38" s="95">
        <f>SUM(BM30:BM37)</f>
        <v>32.214765100671144</v>
      </c>
      <c r="BN38" s="95">
        <f>SUM(BN30:BN37)</f>
        <v>32.299999999999997</v>
      </c>
      <c r="BO38" s="96">
        <f>SUM(BO30:BO37)</f>
        <v>152.03154362416109</v>
      </c>
      <c r="BP38" s="95"/>
      <c r="BQ38" s="95">
        <f>SUM(BQ30:BQ37)</f>
        <v>35.900999999999996</v>
      </c>
      <c r="BR38" s="95">
        <f>SUM(BR30:BR37)</f>
        <v>50.800000000000004</v>
      </c>
      <c r="BS38" s="95">
        <f>SUM(BS30:BS37)</f>
        <v>6.2000000000000011</v>
      </c>
      <c r="BT38" s="95">
        <f>SUM(BT30:BT37)</f>
        <v>31.799999999999997</v>
      </c>
      <c r="BU38" s="96">
        <f>SUM(BU30:BU37)</f>
        <v>124.70099999999999</v>
      </c>
      <c r="BV38" s="95"/>
      <c r="BW38" s="95">
        <f>SUM(BW30:BW37)</f>
        <v>32</v>
      </c>
      <c r="BX38" s="95">
        <f>SUM(BX30:BX37)</f>
        <v>71.7</v>
      </c>
      <c r="BY38" s="95">
        <f>SUM(BY30:BY37)</f>
        <v>54.6</v>
      </c>
      <c r="BZ38" s="95">
        <f>SUM(BZ30:BZ37)</f>
        <v>21.800000000000008</v>
      </c>
      <c r="CA38" s="96">
        <f>SUM(CA30:CA37)</f>
        <v>96.9</v>
      </c>
      <c r="CB38" s="95"/>
      <c r="CC38" s="95">
        <f>SUM(CC30:CC37)</f>
        <v>15.8</v>
      </c>
      <c r="CD38" s="95">
        <f>SUM(CD30:CD37)</f>
        <v>25.6</v>
      </c>
      <c r="CE38" s="95">
        <f>SUM(CE30:CE37)</f>
        <v>17.8</v>
      </c>
      <c r="CF38" s="95">
        <f>SUM(CF30:CF37)</f>
        <v>-9.3999999999999986</v>
      </c>
      <c r="CG38" s="96">
        <f>SUM(CG30:CG37)</f>
        <v>49.800000000000004</v>
      </c>
      <c r="CH38" s="95"/>
      <c r="CI38" s="95">
        <f>SUM(CI30:CI37)</f>
        <v>0.19999999999999996</v>
      </c>
      <c r="CJ38" s="95">
        <f>SUM(CJ30:CJ37)</f>
        <v>9.4</v>
      </c>
      <c r="CK38" s="95">
        <f>SUM(CK30:CK37)</f>
        <v>5.9</v>
      </c>
      <c r="CL38" s="95">
        <f>SUM(CL30:CL37)</f>
        <v>2.2000000000000002</v>
      </c>
      <c r="CM38" s="96">
        <f>SUM(CM30:CM37)</f>
        <v>17.700000000000003</v>
      </c>
    </row>
    <row r="39" spans="1:91" s="49" customFormat="1" ht="18.75" customHeight="1" x14ac:dyDescent="0.2">
      <c r="A39" s="49" t="s">
        <v>31</v>
      </c>
      <c r="C39" s="52">
        <f>C38/C13</f>
        <v>6.6988210075026797E-2</v>
      </c>
      <c r="D39" s="52">
        <f>D38/D13</f>
        <v>7.5916230366492143E-2</v>
      </c>
      <c r="E39" s="52">
        <f>E38/E13</f>
        <v>8.5163603765127743E-2</v>
      </c>
      <c r="F39" s="52">
        <f>F38/F13</f>
        <v>9.4875052943667951E-2</v>
      </c>
      <c r="G39" s="53">
        <f>G38/G13</f>
        <v>8.1485714285714272E-2</v>
      </c>
      <c r="I39" s="52">
        <f>I38/I13</f>
        <v>7.2968490878938627E-2</v>
      </c>
      <c r="J39" s="52">
        <f>J38/J13</f>
        <v>0.13147691223123015</v>
      </c>
      <c r="K39" s="52">
        <f>K38/K13</f>
        <v>9.4339622641509427E-2</v>
      </c>
      <c r="L39" s="52">
        <f>L38/L13</f>
        <v>7.614390499476073E-2</v>
      </c>
      <c r="M39" s="53">
        <f>M38/M13</f>
        <v>9.4498381877022669E-2</v>
      </c>
      <c r="O39" s="52">
        <f>O38/O13</f>
        <v>8.1789137380191668E-2</v>
      </c>
      <c r="P39" s="52">
        <f>P38/P13</f>
        <v>0.10991140642303436</v>
      </c>
      <c r="Q39" s="52">
        <f>Q38/Q13</f>
        <v>9.9225268176400455E-2</v>
      </c>
      <c r="R39" s="52">
        <f>R38/R13</f>
        <v>0.13043478260869562</v>
      </c>
      <c r="S39" s="53">
        <f>S38/S13</f>
        <v>0.10595194085027725</v>
      </c>
      <c r="U39" s="52">
        <f>U38/U13</f>
        <v>9.0612002376708273E-2</v>
      </c>
      <c r="V39" s="52">
        <f>V38/V13</f>
        <v>0.12166798627606229</v>
      </c>
      <c r="W39" s="52">
        <f>W38/W13</f>
        <v>9.3253968253968256E-2</v>
      </c>
      <c r="X39" s="52">
        <f>X38/X13</f>
        <v>3.9109697933227341E-2</v>
      </c>
      <c r="Y39" s="53">
        <f>Y38/Y13</f>
        <v>8.8082152155047722E-2</v>
      </c>
      <c r="AA39" s="52">
        <f>AA38/AA13</f>
        <v>4.8197343453510441E-2</v>
      </c>
      <c r="AB39" s="52">
        <f>AB38/AB13</f>
        <v>7.5381679389312978E-2</v>
      </c>
      <c r="AC39" s="52">
        <f>AC38/AC13</f>
        <v>7.5478027507547785E-2</v>
      </c>
      <c r="AD39" s="52">
        <f>AD38/AD13</f>
        <v>6.6279467031089848E-2</v>
      </c>
      <c r="AE39" s="53">
        <f>AE38/AE13</f>
        <v>6.6997518610421844E-2</v>
      </c>
      <c r="AG39" s="52">
        <f>AG38/AG13</f>
        <v>6.9562377531025468E-2</v>
      </c>
      <c r="AH39" s="52">
        <f>AH38/AH13</f>
        <v>7.0976616231086656E-2</v>
      </c>
      <c r="AI39" s="52">
        <f>AI38/AI13</f>
        <v>6.7114093959731544E-2</v>
      </c>
      <c r="AJ39" s="52">
        <f>AJ38/AJ13</f>
        <v>4.4179697195333836E-2</v>
      </c>
      <c r="AK39" s="53">
        <f>AK38/AK13</f>
        <v>6.2210227665905476E-2</v>
      </c>
      <c r="AM39" s="52">
        <f>AM38/AM13</f>
        <v>5.7233704292527825E-2</v>
      </c>
      <c r="AN39" s="52">
        <f>AN38/AN13</f>
        <v>5.2290836653386456E-2</v>
      </c>
      <c r="AO39" s="52">
        <f>AO38/AO13</f>
        <v>7.9754601226993863E-2</v>
      </c>
      <c r="AP39" s="52">
        <f>AP38/AP13</f>
        <v>6.7913890312660152E-2</v>
      </c>
      <c r="AQ39" s="53">
        <f>AQ38/AQ13</f>
        <v>6.4278390156370172E-2</v>
      </c>
      <c r="AS39" s="52">
        <f>AS38/AS13</f>
        <v>6.4570943075615977E-2</v>
      </c>
      <c r="AT39" s="52">
        <f>AT38/AT13</f>
        <v>5.8657786885245894E-2</v>
      </c>
      <c r="AU39" s="52">
        <f>AU38/AU13</f>
        <v>6.2631027253668772E-2</v>
      </c>
      <c r="AV39" s="52">
        <f>AV38/AV13</f>
        <v>7.8210894552723648E-2</v>
      </c>
      <c r="AW39" s="53">
        <f>AW38/AW13</f>
        <v>6.6150921130269449E-2</v>
      </c>
      <c r="AY39" s="52">
        <f>AY38/AY13</f>
        <v>6.1840980336278155E-2</v>
      </c>
      <c r="AZ39" s="52">
        <f>AZ38/AZ13</f>
        <v>6.9093610698365532E-2</v>
      </c>
      <c r="BA39" s="52">
        <f>BA38/BA13</f>
        <v>5.9112092224675006E-2</v>
      </c>
      <c r="BB39" s="52">
        <f>BB38/BB13</f>
        <v>8.7455197132616486E-2</v>
      </c>
      <c r="BC39" s="53">
        <f>BC38/BC13</f>
        <v>6.9770383958504656E-2</v>
      </c>
      <c r="BE39" s="52">
        <f>BE38/BE13</f>
        <v>7.6584734799482523E-2</v>
      </c>
      <c r="BF39" s="52">
        <f>BF38/BF13</f>
        <v>5.5114200595829194E-2</v>
      </c>
      <c r="BG39" s="52">
        <f>BG38/BG13</f>
        <v>5.7273188038520009E-2</v>
      </c>
      <c r="BH39" s="52">
        <f>BH38/BH13</f>
        <v>7.877733598409542E-2</v>
      </c>
      <c r="BI39" s="53">
        <f>BI38/BI13</f>
        <v>6.6885204564079925E-2</v>
      </c>
      <c r="BK39" s="52">
        <f>BK38/BK13</f>
        <v>5.8837656099903941E-2</v>
      </c>
      <c r="BL39" s="52">
        <f>BL38/BL13</f>
        <v>9.1031089241780355E-2</v>
      </c>
      <c r="BM39" s="52">
        <f>BM38/BM13</f>
        <v>6.1538461538461549E-2</v>
      </c>
      <c r="BN39" s="52">
        <f>BN38/BN13</f>
        <v>5.9704251386321606E-2</v>
      </c>
      <c r="BO39" s="53">
        <f>BO38/BO13</f>
        <v>6.8373331240624308E-2</v>
      </c>
      <c r="BQ39" s="52">
        <f>BQ38/BQ13</f>
        <v>7.3931219110378907E-2</v>
      </c>
      <c r="BR39" s="52">
        <f>BR38/BR13</f>
        <v>9.1829356471438917E-2</v>
      </c>
      <c r="BS39" s="52">
        <f>BS38/BS13</f>
        <v>1.1946050096339115E-2</v>
      </c>
      <c r="BT39" s="52">
        <f>BT38/BT13</f>
        <v>5.8156547183613752E-2</v>
      </c>
      <c r="BU39" s="53">
        <f>BU38/BU13</f>
        <v>5.9251639266368908E-2</v>
      </c>
      <c r="BW39" s="52">
        <f>BW38/BW13</f>
        <v>5.8150099945484285E-2</v>
      </c>
      <c r="BX39" s="52">
        <f>BX38/BX13</f>
        <v>0.10520909757887015</v>
      </c>
      <c r="BY39" s="52">
        <f>BY38/BY13</f>
        <v>8.266464799394399E-2</v>
      </c>
      <c r="BZ39" s="52"/>
      <c r="CA39" s="53">
        <f>CA38/CA13</f>
        <v>6.5503954573108897E-2</v>
      </c>
      <c r="CC39" s="52">
        <f>CC38/CC13</f>
        <v>4.3466299862448418E-2</v>
      </c>
      <c r="CD39" s="52">
        <f>CD38/CD13</f>
        <v>6.02778431834236E-2</v>
      </c>
      <c r="CE39" s="52">
        <f>CE38/CE13</f>
        <v>4.6621267679413304E-2</v>
      </c>
      <c r="CF39" s="52">
        <f>CF38/CF13</f>
        <v>-2.8347406513872134E-2</v>
      </c>
      <c r="CG39" s="53">
        <f>CG38/CG13</f>
        <v>3.3164624400639324E-2</v>
      </c>
      <c r="CI39" s="52">
        <f>CI38/CI13</f>
        <v>6.7957866123003721E-4</v>
      </c>
      <c r="CJ39" s="52">
        <f>CJ38/CJ13</f>
        <v>2.6449071468767588E-2</v>
      </c>
      <c r="CK39" s="52">
        <f>CK38/CK13</f>
        <v>1.8137104211497081E-2</v>
      </c>
      <c r="CL39" s="52">
        <f>CL38/CL13</f>
        <v>5.9880239520958096E-3</v>
      </c>
      <c r="CM39" s="53">
        <f>CM38/CM13</f>
        <v>1.3185339690107274E-2</v>
      </c>
    </row>
    <row r="40" spans="1:91" s="1" customFormat="1" ht="18.75" customHeight="1" x14ac:dyDescent="0.2">
      <c r="A40" s="1" t="s">
        <v>146</v>
      </c>
      <c r="C40" s="21">
        <f>C31/C6</f>
        <v>3.5714285714285712E-2</v>
      </c>
      <c r="D40" s="21">
        <f>D31/D6</f>
        <v>7.1264367816091953E-2</v>
      </c>
      <c r="E40" s="21">
        <f>E31/E6</f>
        <v>8.2809224318658281E-2</v>
      </c>
      <c r="F40" s="21">
        <f>F31/F6</f>
        <v>7.3515551366635248E-2</v>
      </c>
      <c r="G40" s="50">
        <f>G31/G6</f>
        <v>6.857466704448853E-2</v>
      </c>
      <c r="I40" s="21">
        <f>I31/I6</f>
        <v>6.0019361084220721E-2</v>
      </c>
      <c r="J40" s="21">
        <f>J31/J6</f>
        <v>7.2104879825200294E-2</v>
      </c>
      <c r="K40" s="21">
        <f>K31/K6</f>
        <v>8.6330935251798566E-2</v>
      </c>
      <c r="L40" s="21">
        <f>L31/L6</f>
        <v>5.5706521739130432E-2</v>
      </c>
      <c r="M40" s="50">
        <f>M31/M6</f>
        <v>6.8906605922551267E-2</v>
      </c>
      <c r="O40" s="21">
        <f>O31/O6</f>
        <v>6.3321385902031069E-2</v>
      </c>
      <c r="P40" s="21">
        <f>P31/P6</f>
        <v>9.521484375E-2</v>
      </c>
      <c r="Q40" s="21">
        <f>Q31/Q6</f>
        <v>9.4587759231158322E-2</v>
      </c>
      <c r="R40" s="21">
        <f>R31/R6</f>
        <v>0.11999999999999998</v>
      </c>
      <c r="S40" s="50">
        <f>S31/S6</f>
        <v>9.4307450157397693E-2</v>
      </c>
      <c r="U40" s="21">
        <f>U31/U6</f>
        <v>6.6271551724137942E-2</v>
      </c>
      <c r="V40" s="21">
        <f>V31/V6</f>
        <v>9.1082498807820697E-2</v>
      </c>
      <c r="W40" s="21">
        <f>W31/W6</f>
        <v>7.8498293515358364E-2</v>
      </c>
      <c r="X40" s="21">
        <f>X31/X6</f>
        <v>1.70261066969353E-2</v>
      </c>
      <c r="Y40" s="50">
        <f>Y31/Y6</f>
        <v>6.5027040947720827E-2</v>
      </c>
      <c r="AA40" s="21">
        <f>AA31/AA6</f>
        <v>1.1811023622047242E-2</v>
      </c>
      <c r="AB40" s="21">
        <f>AB31/AB6</f>
        <v>8.1414935429533972E-2</v>
      </c>
      <c r="AC40" s="21">
        <f>AC31/AC6</f>
        <v>6.9289489136817387E-2</v>
      </c>
      <c r="AD40" s="21">
        <f>AD31/AD6</f>
        <v>5.8317986494782072E-2</v>
      </c>
      <c r="AE40" s="50">
        <f>AE31/AE6</f>
        <v>5.8436471878427057E-2</v>
      </c>
      <c r="AG40" s="21">
        <f>AG31/AG6</f>
        <v>3.7406483790523685E-2</v>
      </c>
      <c r="AH40" s="21">
        <f>AH31/AH6</f>
        <v>3.9396887159533073E-2</v>
      </c>
      <c r="AI40" s="21">
        <f>AI31/AI6</f>
        <v>6.1525129982668979E-2</v>
      </c>
      <c r="AJ40" s="21">
        <f>AJ31/AJ6</f>
        <v>1.8025078369905956E-2</v>
      </c>
      <c r="AK40" s="50">
        <f>AK31/AK6</f>
        <v>3.8615023474178403E-2</v>
      </c>
      <c r="AM40" s="21">
        <f>AM31/AM6</f>
        <v>1.330885727397889E-2</v>
      </c>
      <c r="AN40" s="21">
        <f>AN31/AN6</f>
        <v>3.8860103626943009E-3</v>
      </c>
      <c r="AO40" s="21">
        <f>AO31/AO6</f>
        <v>3.0135823429541596E-2</v>
      </c>
      <c r="AP40" s="21">
        <f>AP31/AP6</f>
        <v>3.2632990612427359E-2</v>
      </c>
      <c r="AQ40" s="50">
        <f>AQ31/AQ6</f>
        <v>2.0026408450704226E-2</v>
      </c>
      <c r="AS40" s="21">
        <f>AS31/AS6</f>
        <v>2.1230266739248778E-2</v>
      </c>
      <c r="AT40" s="21">
        <f>AT31/AT6</f>
        <v>2.0842982862436313E-2</v>
      </c>
      <c r="AU40" s="21">
        <f>AU31/AU6</f>
        <v>4.5838896306186025E-2</v>
      </c>
      <c r="AV40" s="21">
        <f>AV31/AV6</f>
        <v>4.5116075339465614E-2</v>
      </c>
      <c r="AW40" s="50">
        <f>AW31/AW6</f>
        <v>3.4013605442176874E-2</v>
      </c>
      <c r="AY40" s="21">
        <f>AY31/AY6</f>
        <v>2.3902167871039468E-2</v>
      </c>
      <c r="AZ40" s="21">
        <f>AZ31/AZ6</f>
        <v>3.1291908806437195E-2</v>
      </c>
      <c r="BA40" s="21">
        <f>BA31/BA6</f>
        <v>4.1938110749185666E-2</v>
      </c>
      <c r="BB40" s="21">
        <f>BB31/BB6</f>
        <v>6.2625451625853076E-2</v>
      </c>
      <c r="BC40" s="50">
        <f>BC31/BC6</f>
        <v>4.1411555159746191E-2</v>
      </c>
      <c r="BE40" s="21">
        <f>BE31/BE6</f>
        <v>-2.9069767441860465E-3</v>
      </c>
      <c r="BF40" s="21">
        <f>BF31/BF6</f>
        <v>6.3723258989531175E-3</v>
      </c>
      <c r="BG40" s="21">
        <f>BG31/BG6</f>
        <v>3.875968992248062E-2</v>
      </c>
      <c r="BH40" s="21">
        <f>BH31/BH6</f>
        <v>3.7587006960556842E-2</v>
      </c>
      <c r="BI40" s="50">
        <f>BI31/BI6</f>
        <v>2.0485236896314946E-2</v>
      </c>
      <c r="BK40" s="21">
        <f>BK31/BK6</f>
        <v>3.0395136778115499E-2</v>
      </c>
      <c r="BL40" s="21">
        <f>BL31/BL6</f>
        <v>8.2837891399128019E-2</v>
      </c>
      <c r="BM40" s="21">
        <f>BM31/BM6</f>
        <v>3.4728829686013325E-2</v>
      </c>
      <c r="BN40" s="21">
        <f>BN31/BN6</f>
        <v>2.3404255319148925E-2</v>
      </c>
      <c r="BO40" s="50">
        <f>BO31/BO6</f>
        <v>4.4431769097010708E-2</v>
      </c>
      <c r="BQ40" s="21">
        <f>BQ31/BQ6</f>
        <v>4.3497757847533632E-2</v>
      </c>
      <c r="BR40" s="21">
        <f>BR31/BR6</f>
        <v>7.2442120985810293E-2</v>
      </c>
      <c r="BS40" s="21">
        <f>BS31/BS6</f>
        <v>-4.4978673904614193E-2</v>
      </c>
      <c r="BT40" s="21">
        <f>BT31/BT6</f>
        <v>3.4117647058823523E-2</v>
      </c>
      <c r="BU40" s="50">
        <f>BU31/BU6</f>
        <v>2.6103417355783597E-2</v>
      </c>
      <c r="BW40" s="21">
        <f>BW31/BW6</f>
        <v>1.168736303871439E-2</v>
      </c>
      <c r="BX40" s="21">
        <f>BX31/BX6</f>
        <v>9.6848578016910061E-2</v>
      </c>
      <c r="BY40" s="21">
        <f>BY31/BY6</f>
        <v>9.1527987897125559E-2</v>
      </c>
      <c r="BZ40" s="21"/>
      <c r="CA40" s="50">
        <f>CA31/CA6</f>
        <v>6.53649660578067E-2</v>
      </c>
      <c r="CC40" s="21">
        <f>CC31/CC6</f>
        <v>4.9273711193392196E-2</v>
      </c>
      <c r="CD40" s="21">
        <f>CD31/CD6</f>
        <v>6.0412573673870339E-2</v>
      </c>
      <c r="CE40" s="21">
        <f>CE31/CE6</f>
        <v>4.4414168937329704E-2</v>
      </c>
      <c r="CF40" s="21">
        <f>CF31/CF6</f>
        <v>-5.6256062075654707E-2</v>
      </c>
      <c r="CG40" s="50">
        <f>CG31/CG6</f>
        <v>2.8439983270598081E-2</v>
      </c>
      <c r="CI40" s="21">
        <f>CI31/CI6</f>
        <v>2.1443888491779841E-3</v>
      </c>
      <c r="CJ40" s="21">
        <f>CJ31/CJ6</f>
        <v>1.6281823564239194E-2</v>
      </c>
      <c r="CK40" s="21">
        <f>CK31/CK6</f>
        <v>6.4808813998703816E-3</v>
      </c>
      <c r="CL40" s="21">
        <f>CL31/CL6</f>
        <v>-1.4619883040935672E-2</v>
      </c>
      <c r="CM40" s="50">
        <f>CM31/CM6</f>
        <v>2.444409399148399E-3</v>
      </c>
    </row>
    <row r="41" spans="1:91" s="1" customFormat="1" ht="18.75" customHeight="1" x14ac:dyDescent="0.2">
      <c r="A41" s="1" t="s">
        <v>147</v>
      </c>
      <c r="C41" s="21">
        <f>+C31/C15</f>
        <v>4.0564373897707229E-2</v>
      </c>
      <c r="D41" s="21">
        <f>+D31/D15</f>
        <v>8.355795148247977E-2</v>
      </c>
      <c r="E41" s="21">
        <f>+E31/E15</f>
        <v>9.8750000000000004E-2</v>
      </c>
      <c r="F41" s="21">
        <f>+F31/F15</f>
        <v>9.1764705882352943E-2</v>
      </c>
      <c r="G41" s="50">
        <f>+G31/G15</f>
        <v>8.1784386617100371E-2</v>
      </c>
      <c r="I41" s="21">
        <f>+I31/I15</f>
        <v>8.0519480519480505E-2</v>
      </c>
      <c r="J41" s="21">
        <f>+J31/J15</f>
        <v>0.11073825503355704</v>
      </c>
      <c r="K41" s="21">
        <f>+K31/K15</f>
        <v>0.13872832369942195</v>
      </c>
      <c r="L41" s="21">
        <f>+L31/L15</f>
        <v>8.8744588744588737E-2</v>
      </c>
      <c r="M41" s="50">
        <f>+M31/M15</f>
        <v>0.10512597741094699</v>
      </c>
      <c r="O41" s="21">
        <f>+O31/O15</f>
        <v>9.7876269621421971E-2</v>
      </c>
      <c r="P41" s="21">
        <f>+P31/P15</f>
        <v>0.14942528735632185</v>
      </c>
      <c r="Q41" s="21">
        <f>+Q31/Q15</f>
        <v>0.15080645161290324</v>
      </c>
      <c r="R41" s="21">
        <f>+R31/R15</f>
        <v>0.18203309692671396</v>
      </c>
      <c r="S41" s="50">
        <f>+S31/S15</f>
        <v>0.14682458648151928</v>
      </c>
      <c r="U41" s="21">
        <f>+U31/U15</f>
        <v>0.10344827586206896</v>
      </c>
      <c r="V41" s="22">
        <f>+V31/V15</f>
        <v>0.13750899928005761</v>
      </c>
      <c r="W41" s="22">
        <f>+W31/W15</f>
        <v>0.12041884816753926</v>
      </c>
      <c r="X41" s="22">
        <f>+X31/X15</f>
        <v>2.3148148148148147E-2</v>
      </c>
      <c r="Y41" s="50">
        <f>Y31/Y15</f>
        <v>9.6910381884475164E-2</v>
      </c>
      <c r="AA41" s="21">
        <f>+AA31/AA15</f>
        <v>1.5337423312883436E-2</v>
      </c>
      <c r="AB41" s="21">
        <f>+AB31/AB15</f>
        <v>0.1091867469879518</v>
      </c>
      <c r="AC41" s="21">
        <f>+AC31/AC15</f>
        <v>9.9578059071729966E-2</v>
      </c>
      <c r="AD41" s="21">
        <f>+AD31/AD15</f>
        <v>8.2251082251082241E-2</v>
      </c>
      <c r="AE41" s="50">
        <f>AE31/AE15</f>
        <v>8.0284115368058531E-2</v>
      </c>
      <c r="AG41" s="21">
        <f>+AG31/AG15</f>
        <v>5.7915057915057903E-2</v>
      </c>
      <c r="AH41" s="21">
        <f>+AH31/AH15</f>
        <v>5.8951965065502175E-2</v>
      </c>
      <c r="AI41" s="21">
        <f>+AI31/AI15</f>
        <v>9.3053735255570119E-2</v>
      </c>
      <c r="AJ41" s="21">
        <f>+AJ31/AJ15</f>
        <v>2.8553693358162633E-2</v>
      </c>
      <c r="AK41" s="50">
        <f>AK31/AK15</f>
        <v>5.9311339462772665E-2</v>
      </c>
      <c r="AM41" s="21">
        <f>+AM31/AM15</f>
        <v>2.2870662460567823E-2</v>
      </c>
      <c r="AN41" s="21">
        <f>+AN31/AN15</f>
        <v>6.5359477124183009E-3</v>
      </c>
      <c r="AO41" s="21">
        <f>+AO31/AO15</f>
        <v>4.8266485384092457E-2</v>
      </c>
      <c r="AP41" s="21">
        <f>+AP31/AP15</f>
        <v>4.8057932850559586E-2</v>
      </c>
      <c r="AQ41" s="50">
        <f>AQ31/AQ15</f>
        <v>3.2298136645962733E-2</v>
      </c>
      <c r="AS41" s="21">
        <f>+AS31/AS15</f>
        <v>3.5071942446043163E-2</v>
      </c>
      <c r="AT41" s="21">
        <f>+AT31/AT15</f>
        <v>3.3733133433283359E-2</v>
      </c>
      <c r="AU41" s="21">
        <f>+AU31/AU15</f>
        <v>7.0211315610088615E-2</v>
      </c>
      <c r="AV41" s="21">
        <f>+AV31/AV15</f>
        <v>6.830238726790451E-2</v>
      </c>
      <c r="AW41" s="50">
        <f>AW31/AW15</f>
        <v>5.3495665006456368E-2</v>
      </c>
      <c r="AY41" s="21">
        <f>+AY31/AY15</f>
        <v>3.7423846823324627E-2</v>
      </c>
      <c r="AZ41" s="21">
        <f>+AZ31/AZ15</f>
        <v>4.784688995215311E-2</v>
      </c>
      <c r="BA41" s="21">
        <f>+BA31/BA15</f>
        <v>6.2010836845273927E-2</v>
      </c>
      <c r="BB41" s="21">
        <f>+BB31/BB15</f>
        <v>8.9449541284403675E-2</v>
      </c>
      <c r="BC41" s="50">
        <f>BC31/BC15</f>
        <v>6.1824829649326916E-2</v>
      </c>
      <c r="BE41" s="21">
        <f>+BE31/BE15</f>
        <v>-4.3541364296081275E-3</v>
      </c>
      <c r="BF41" s="21">
        <f>+BF31/BF15</f>
        <v>9.2961487383798145E-3</v>
      </c>
      <c r="BG41" s="21">
        <f>+BG31/BG15</f>
        <v>5.4315027157513573E-2</v>
      </c>
      <c r="BH41" s="21">
        <f>+BH31/BH15</f>
        <v>5.3500660501981503E-2</v>
      </c>
      <c r="BI41" s="50">
        <f>BI31/BI15</f>
        <v>2.9562345169281582E-2</v>
      </c>
      <c r="BK41" s="21">
        <f>+BK31/BK15</f>
        <v>4.337050805452293E-2</v>
      </c>
      <c r="BL41" s="21">
        <f>+BL31/BL15</f>
        <v>0.12039170506912443</v>
      </c>
      <c r="BM41" s="21">
        <f>+BM31/BM15</f>
        <v>4.9659863945578232E-2</v>
      </c>
      <c r="BN41" s="21">
        <f>+BN31/BN15</f>
        <v>3.1339031339031341E-2</v>
      </c>
      <c r="BO41" s="50">
        <f>BO31/BO15</f>
        <v>6.2791028913893793E-2</v>
      </c>
      <c r="BQ41" s="21">
        <f>+BQ31/BQ15</f>
        <v>5.9399877526025713E-2</v>
      </c>
      <c r="BR41" s="21">
        <f>+BR31/BR15</f>
        <v>9.6951524237881059E-2</v>
      </c>
      <c r="BS41" s="21">
        <f>+BS31/BS15</f>
        <v>-5.909322465613856E-2</v>
      </c>
      <c r="BT41" s="21">
        <f>+BT31/BT15</f>
        <v>4.5621394861038278E-2</v>
      </c>
      <c r="BU41" s="50">
        <f>BU31/BU15</f>
        <v>3.4914712153518115E-2</v>
      </c>
      <c r="BW41" s="21">
        <f>+BW31/BW15</f>
        <v>1.7278617710583154E-2</v>
      </c>
      <c r="BX41" s="21">
        <f>+BX31/BX15</f>
        <v>0.13120444290177019</v>
      </c>
      <c r="BY41" s="21">
        <f>+BY31/BY15</f>
        <v>0.11972295514511873</v>
      </c>
      <c r="BZ41" s="21"/>
      <c r="CA41" s="50">
        <f>CA31/CA15</f>
        <v>8.8279773156899818E-2</v>
      </c>
      <c r="CC41" s="21">
        <f>+CC31/CC15</f>
        <v>6.7976424361493121E-2</v>
      </c>
      <c r="CD41" s="21">
        <f>+CD31/CD15</f>
        <v>8.028720626631855E-2</v>
      </c>
      <c r="CE41" s="21">
        <f>+CE31/CE15</f>
        <v>5.6814220982920882E-2</v>
      </c>
      <c r="CF41" s="21">
        <f>+CF31/CF15</f>
        <v>-7.4903142488161864E-2</v>
      </c>
      <c r="CG41" s="50">
        <f>CG31/CG15</f>
        <v>3.7774280159244521E-2</v>
      </c>
      <c r="CI41" s="21">
        <f>+CI31/CI15</f>
        <v>2.9211295034079843E-3</v>
      </c>
      <c r="CJ41" s="21">
        <f>+CJ31/CJ15</f>
        <v>2.2448979591836733E-2</v>
      </c>
      <c r="CK41" s="21">
        <f>+CK31/CK15</f>
        <v>8.6058519793459545E-3</v>
      </c>
      <c r="CL41" s="21">
        <f>+CL31/CL15</f>
        <v>-1.9069412662090009E-2</v>
      </c>
      <c r="CM41" s="50">
        <f>CM31/CM15</f>
        <v>3.2804232804232798E-3</v>
      </c>
    </row>
    <row r="42" spans="1:91" s="1" customFormat="1" ht="18.75" customHeight="1" x14ac:dyDescent="0.2">
      <c r="A42" s="1" t="s">
        <v>82</v>
      </c>
      <c r="C42" s="21">
        <f>C32/C7</f>
        <v>8.4518828451882855E-2</v>
      </c>
      <c r="D42" s="21">
        <f>D32/D7</f>
        <v>8.5365853658536578E-2</v>
      </c>
      <c r="E42" s="21">
        <f>E32/E7</f>
        <v>9.1419406575781875E-2</v>
      </c>
      <c r="F42" s="21">
        <f>F32/F7</f>
        <v>0.10571652310101802</v>
      </c>
      <c r="G42" s="50">
        <f>G32/G7</f>
        <v>9.1726970467435942E-2</v>
      </c>
      <c r="I42" s="21">
        <f>I32/I7</f>
        <v>8.6474501108647447E-2</v>
      </c>
      <c r="J42" s="21">
        <f>J32/J7</f>
        <v>0.18706536856745482</v>
      </c>
      <c r="K42" s="21">
        <f>K32/K7</f>
        <v>9.7523219814241488E-2</v>
      </c>
      <c r="L42" s="21">
        <f>L32/L7</f>
        <v>9.1445427728613568E-2</v>
      </c>
      <c r="M42" s="50">
        <f>M32/M7</f>
        <v>0.11693325979040266</v>
      </c>
      <c r="O42" s="21">
        <f>O32/O7</f>
        <v>0.10195530726256984</v>
      </c>
      <c r="P42" s="21">
        <f>P32/P7</f>
        <v>0.11372549019607844</v>
      </c>
      <c r="Q42" s="21">
        <f>Q32/Q7</f>
        <v>9.9480326651818857E-2</v>
      </c>
      <c r="R42" s="21">
        <f>R32/R7</f>
        <v>0.12203389830508474</v>
      </c>
      <c r="S42" s="50">
        <f>S32/S7</f>
        <v>0.10961272475795297</v>
      </c>
      <c r="U42" s="21">
        <f>U32/U7</f>
        <v>0.1038435603506406</v>
      </c>
      <c r="V42" s="21">
        <f>V32/V7</f>
        <v>0.11789859499083689</v>
      </c>
      <c r="W42" s="21">
        <f>W32/W7</f>
        <v>7.3632538569424963E-2</v>
      </c>
      <c r="X42" s="21">
        <f>X32/X7</f>
        <v>8.308383233532933E-2</v>
      </c>
      <c r="Y42" s="50">
        <f>Y32/Y7</f>
        <v>9.5715742944576659E-2</v>
      </c>
      <c r="AA42" s="21">
        <f>AA32/AA7</f>
        <v>6.4491654021244307E-2</v>
      </c>
      <c r="AB42" s="21">
        <f>AB32/AB7</f>
        <v>5.1359516616314195E-2</v>
      </c>
      <c r="AC42" s="21">
        <f>AC32/AC7</f>
        <v>6.6827697262479863E-2</v>
      </c>
      <c r="AD42" s="21">
        <f>AD32/AD7</f>
        <v>6.4593301435406703E-2</v>
      </c>
      <c r="AE42" s="50">
        <f>AE32/AE7</f>
        <v>6.1697158427403656E-2</v>
      </c>
      <c r="AG42" s="21">
        <f>AG32/AG7</f>
        <v>0.10578279266572636</v>
      </c>
      <c r="AH42" s="21">
        <f>AH32/AH7</f>
        <v>0.10900783289817233</v>
      </c>
      <c r="AI42" s="21">
        <f>AI32/AI7</f>
        <v>7.5801749271137017E-2</v>
      </c>
      <c r="AJ42" s="21">
        <f>AJ32/AJ7</f>
        <v>7.3684210526315796E-2</v>
      </c>
      <c r="AK42" s="50">
        <f>AK32/AK7</f>
        <v>9.1526013572298587E-2</v>
      </c>
      <c r="AM42" s="21">
        <f>AM32/AM7</f>
        <v>0.11275773195876289</v>
      </c>
      <c r="AN42" s="21">
        <f>AN32/AN7</f>
        <v>0.11689884918231376</v>
      </c>
      <c r="AO42" s="21">
        <f>AO32/AO7</f>
        <v>0.10459693537641572</v>
      </c>
      <c r="AP42" s="21">
        <f>AP32/AP7</f>
        <v>0.10854647535870243</v>
      </c>
      <c r="AQ42" s="50">
        <f>AQ32/AQ7</f>
        <v>0.11082923735531949</v>
      </c>
      <c r="AS42" s="21">
        <f>AS32/AS7</f>
        <v>0.11919315403422984</v>
      </c>
      <c r="AT42" s="21">
        <f>AT32/AT7</f>
        <v>0.11695215593620792</v>
      </c>
      <c r="AU42" s="21">
        <f>AU32/AU7</f>
        <v>9.624258404746211E-2</v>
      </c>
      <c r="AV42" s="21">
        <f>AV32/AV7</f>
        <v>0.12522796352583587</v>
      </c>
      <c r="AW42" s="50">
        <f>AW32/AW7</f>
        <v>0.11477430288091203</v>
      </c>
      <c r="AY42" s="21">
        <f>AY32/AY7</f>
        <v>0.113595166163142</v>
      </c>
      <c r="AZ42" s="21">
        <f>AZ32/AZ7</f>
        <v>0.12866168868466399</v>
      </c>
      <c r="BA42" s="21">
        <f>BA32/BA7</f>
        <v>0.10025706940874037</v>
      </c>
      <c r="BB42" s="21">
        <f>BB32/BB7</f>
        <v>0.1305158483530143</v>
      </c>
      <c r="BC42" s="50">
        <f>BC32/BC7</f>
        <v>0.11857948483462888</v>
      </c>
      <c r="BE42" s="21">
        <f>BE32/BE7</f>
        <v>0.17846862406447897</v>
      </c>
      <c r="BF42" s="21">
        <f>BF32/BF7</f>
        <v>0.1236528644356211</v>
      </c>
      <c r="BG42" s="21">
        <f>BG32/BG7</f>
        <v>9.0442591404746614E-2</v>
      </c>
      <c r="BH42" s="21">
        <f>BH32/BH7</f>
        <v>0.12774338773213281</v>
      </c>
      <c r="BI42" s="50">
        <f>BI32/BI7</f>
        <v>0.131070801638385</v>
      </c>
      <c r="BK42" s="21">
        <f>BK32/BK7</f>
        <v>0.10133630289532294</v>
      </c>
      <c r="BL42" s="21">
        <f>BL32/BL7</f>
        <v>0.11346765641569459</v>
      </c>
      <c r="BM42" s="21">
        <f>BM32/BM7</f>
        <v>9.3131548311990692E-2</v>
      </c>
      <c r="BN42" s="21">
        <f>BN32/BN7</f>
        <v>9.4446696392379417E-2</v>
      </c>
      <c r="BO42" s="50">
        <f>BO32/BO7</f>
        <v>0.10080043769510971</v>
      </c>
      <c r="BQ42" s="21">
        <f>BQ32/BQ7</f>
        <v>0.10650352388410336</v>
      </c>
      <c r="BR42" s="21">
        <f>BR32/BR7</f>
        <v>0.11754068716094032</v>
      </c>
      <c r="BS42" s="21">
        <f>BS32/BS7</f>
        <v>6.9916100679184981E-2</v>
      </c>
      <c r="BT42" s="21">
        <f>BT32/BT7</f>
        <v>7.0937386898298954E-2</v>
      </c>
      <c r="BU42" s="50">
        <f>BU32/BU7</f>
        <v>9.1451110061407645E-2</v>
      </c>
      <c r="BW42" s="21">
        <f>BW32/BW7</f>
        <v>0.11486988847583643</v>
      </c>
      <c r="BX42" s="21">
        <f>BX32/BX7</f>
        <v>0.11857142857142858</v>
      </c>
      <c r="BY42" s="21">
        <f>BY32/BY7</f>
        <v>7.5583696082311053E-2</v>
      </c>
      <c r="BZ42" s="21"/>
      <c r="CA42" s="50"/>
      <c r="CC42" s="21"/>
      <c r="CD42" s="21"/>
      <c r="CE42" s="21"/>
      <c r="CF42" s="21"/>
      <c r="CG42" s="50"/>
      <c r="CI42" s="21"/>
      <c r="CJ42" s="21"/>
      <c r="CK42" s="21"/>
      <c r="CL42" s="21"/>
      <c r="CM42" s="50"/>
    </row>
    <row r="43" spans="1:91" s="1" customFormat="1" ht="18.75" hidden="1" customHeight="1" x14ac:dyDescent="0.2">
      <c r="C43" s="3"/>
      <c r="D43" s="3"/>
      <c r="E43" s="3"/>
      <c r="F43" s="3"/>
      <c r="G43" s="29"/>
      <c r="I43" s="3"/>
      <c r="J43" s="3"/>
      <c r="K43" s="3"/>
      <c r="L43" s="3"/>
      <c r="M43" s="29"/>
      <c r="O43" s="3"/>
      <c r="P43" s="3"/>
      <c r="Q43" s="3"/>
      <c r="R43" s="3"/>
      <c r="S43" s="29"/>
      <c r="Y43" s="28"/>
      <c r="AE43" s="28"/>
      <c r="AK43" s="28"/>
      <c r="AQ43" s="28"/>
      <c r="AW43" s="28"/>
      <c r="BC43" s="28"/>
      <c r="BI43" s="28"/>
      <c r="BO43" s="28"/>
      <c r="BU43" s="28"/>
      <c r="CA43" s="28"/>
      <c r="CG43" s="28"/>
      <c r="CM43" s="28"/>
    </row>
    <row r="44" spans="1:91" hidden="1" x14ac:dyDescent="0.2">
      <c r="A44" s="19" t="s">
        <v>3</v>
      </c>
      <c r="C44" s="4"/>
      <c r="D44" s="4"/>
      <c r="E44" s="4"/>
      <c r="F44" s="4"/>
      <c r="G44" s="29"/>
      <c r="I44" s="4"/>
      <c r="J44" s="4"/>
      <c r="K44" s="4"/>
      <c r="L44" s="4"/>
      <c r="M44" s="29"/>
      <c r="O44" s="4"/>
      <c r="P44" s="4"/>
      <c r="Q44" s="4"/>
      <c r="R44" s="4"/>
      <c r="S44" s="29"/>
      <c r="Y44" s="42"/>
      <c r="AE44" s="42"/>
      <c r="AK44" s="42"/>
      <c r="AQ44" s="42"/>
      <c r="AW44" s="42"/>
      <c r="BC44" s="42"/>
      <c r="BI44" s="42"/>
      <c r="BO44" s="42"/>
      <c r="BU44" s="42"/>
      <c r="CA44" s="42"/>
      <c r="CG44" s="42"/>
      <c r="CM44" s="42"/>
    </row>
    <row r="45" spans="1:91" hidden="1" x14ac:dyDescent="0.2">
      <c r="A45" s="2" t="s">
        <v>71</v>
      </c>
      <c r="C45" s="4"/>
      <c r="D45" s="4"/>
      <c r="E45" s="4"/>
      <c r="F45" s="4"/>
      <c r="G45" s="29"/>
      <c r="I45" s="4"/>
      <c r="J45" s="4"/>
      <c r="K45" s="4"/>
      <c r="L45" s="4"/>
      <c r="M45" s="29"/>
      <c r="O45" s="4"/>
      <c r="P45" s="4"/>
      <c r="Q45" s="4"/>
      <c r="R45" s="4"/>
      <c r="S45" s="29"/>
      <c r="Y45" s="42"/>
      <c r="AE45" s="42"/>
      <c r="AK45" s="42"/>
      <c r="AQ45" s="42"/>
      <c r="AW45" s="42"/>
      <c r="BC45" s="42"/>
      <c r="BI45" s="42"/>
      <c r="BO45" s="42"/>
      <c r="BU45" s="42"/>
      <c r="CA45" s="42"/>
      <c r="CG45" s="42"/>
      <c r="CM45" s="42"/>
    </row>
    <row r="46" spans="1:91" hidden="1" x14ac:dyDescent="0.2">
      <c r="A46" s="2" t="s">
        <v>25</v>
      </c>
      <c r="C46" s="4"/>
      <c r="D46" s="4"/>
      <c r="E46" s="4"/>
      <c r="F46" s="4"/>
      <c r="G46" s="29"/>
      <c r="I46" s="4"/>
      <c r="J46" s="4"/>
      <c r="K46" s="4"/>
      <c r="L46" s="4"/>
      <c r="M46" s="29"/>
      <c r="O46" s="4"/>
      <c r="P46" s="4"/>
      <c r="Q46" s="4"/>
      <c r="R46" s="4"/>
      <c r="S46" s="29"/>
      <c r="Y46" s="42"/>
      <c r="AE46" s="42"/>
      <c r="AK46" s="42"/>
      <c r="AQ46" s="42"/>
      <c r="AW46" s="42"/>
      <c r="BC46" s="42"/>
      <c r="BI46" s="42"/>
      <c r="BO46" s="42"/>
      <c r="BU46" s="42"/>
      <c r="CA46" s="42"/>
      <c r="CG46" s="42"/>
      <c r="CM46" s="42"/>
    </row>
    <row r="47" spans="1:91" hidden="1" x14ac:dyDescent="0.2">
      <c r="A47" s="2" t="s">
        <v>26</v>
      </c>
      <c r="C47" s="4"/>
      <c r="D47" s="4"/>
      <c r="E47" s="4"/>
      <c r="F47" s="4"/>
      <c r="G47" s="29"/>
      <c r="I47" s="4"/>
      <c r="J47" s="4"/>
      <c r="K47" s="4"/>
      <c r="L47" s="4"/>
      <c r="M47" s="29"/>
      <c r="O47" s="4"/>
      <c r="P47" s="4"/>
      <c r="Q47" s="4"/>
      <c r="R47" s="4"/>
      <c r="S47" s="29"/>
      <c r="Y47" s="42"/>
      <c r="AE47" s="42"/>
      <c r="AK47" s="42"/>
      <c r="AQ47" s="42"/>
      <c r="AW47" s="42"/>
      <c r="BC47" s="42"/>
      <c r="BI47" s="42"/>
      <c r="BO47" s="42"/>
      <c r="BU47" s="42"/>
      <c r="CA47" s="42"/>
      <c r="CG47" s="42"/>
      <c r="CM47" s="42"/>
    </row>
    <row r="48" spans="1:91" hidden="1" x14ac:dyDescent="0.2">
      <c r="A48" s="2" t="s">
        <v>27</v>
      </c>
      <c r="C48" s="4"/>
      <c r="D48" s="4"/>
      <c r="E48" s="4"/>
      <c r="F48" s="4"/>
      <c r="G48" s="29"/>
      <c r="I48" s="4"/>
      <c r="J48" s="4"/>
      <c r="K48" s="4"/>
      <c r="L48" s="4"/>
      <c r="M48" s="29"/>
      <c r="O48" s="4"/>
      <c r="P48" s="4"/>
      <c r="Q48" s="4"/>
      <c r="R48" s="4"/>
      <c r="S48" s="29"/>
      <c r="Y48" s="42"/>
      <c r="AE48" s="42"/>
      <c r="AK48" s="42"/>
      <c r="AQ48" s="42"/>
      <c r="AW48" s="42"/>
      <c r="BC48" s="42"/>
      <c r="BI48" s="42"/>
      <c r="BO48" s="42"/>
      <c r="BU48" s="42"/>
      <c r="CA48" s="42"/>
      <c r="CG48" s="42"/>
      <c r="CM48" s="42"/>
    </row>
    <row r="49" spans="1:216" hidden="1" x14ac:dyDescent="0.2">
      <c r="A49" s="2" t="s">
        <v>70</v>
      </c>
      <c r="C49" s="4"/>
      <c r="D49" s="4"/>
      <c r="E49" s="4"/>
      <c r="F49" s="4"/>
      <c r="G49" s="29"/>
      <c r="I49" s="4"/>
      <c r="J49" s="4"/>
      <c r="K49" s="4"/>
      <c r="L49" s="4"/>
      <c r="M49" s="29"/>
      <c r="O49" s="4"/>
      <c r="P49" s="4"/>
      <c r="Q49" s="4"/>
      <c r="R49" s="4"/>
      <c r="S49" s="29"/>
      <c r="Y49" s="42"/>
      <c r="AE49" s="42"/>
      <c r="AK49" s="42"/>
      <c r="AQ49" s="42"/>
      <c r="AW49" s="42"/>
      <c r="BC49" s="42"/>
      <c r="BI49" s="42"/>
      <c r="BO49" s="42"/>
      <c r="BU49" s="42"/>
      <c r="CA49" s="42"/>
      <c r="CG49" s="42"/>
      <c r="CM49" s="42"/>
    </row>
    <row r="50" spans="1:216" hidden="1" x14ac:dyDescent="0.2">
      <c r="A50" s="2" t="s">
        <v>30</v>
      </c>
      <c r="C50" s="4"/>
      <c r="D50" s="4"/>
      <c r="E50" s="4"/>
      <c r="F50" s="4"/>
      <c r="G50" s="29"/>
      <c r="I50" s="4"/>
      <c r="J50" s="4"/>
      <c r="K50" s="4"/>
      <c r="L50" s="4"/>
      <c r="M50" s="29"/>
      <c r="O50" s="4"/>
      <c r="P50" s="4"/>
      <c r="Q50" s="4"/>
      <c r="R50" s="4"/>
      <c r="S50" s="29"/>
      <c r="Y50" s="42"/>
      <c r="AE50" s="42"/>
      <c r="AK50" s="42"/>
      <c r="AQ50" s="42"/>
      <c r="AW50" s="42"/>
      <c r="BC50" s="42"/>
      <c r="BI50" s="42"/>
      <c r="BO50" s="42"/>
      <c r="BU50" s="42"/>
      <c r="CA50" s="42"/>
      <c r="CG50" s="42"/>
      <c r="CM50" s="42"/>
    </row>
    <row r="51" spans="1:216" hidden="1" x14ac:dyDescent="0.2">
      <c r="A51" s="2" t="s">
        <v>28</v>
      </c>
      <c r="C51" s="4"/>
      <c r="D51" s="4"/>
      <c r="E51" s="4"/>
      <c r="F51" s="4"/>
      <c r="G51" s="29"/>
      <c r="I51" s="4"/>
      <c r="J51" s="4"/>
      <c r="K51" s="4"/>
      <c r="L51" s="4"/>
      <c r="M51" s="29"/>
      <c r="O51" s="4"/>
      <c r="P51" s="4"/>
      <c r="Q51" s="4"/>
      <c r="R51" s="4"/>
      <c r="S51" s="29"/>
      <c r="Y51" s="42"/>
      <c r="AE51" s="42"/>
      <c r="AK51" s="42"/>
      <c r="AQ51" s="42"/>
      <c r="AW51" s="42"/>
      <c r="BC51" s="42"/>
      <c r="BI51" s="42"/>
      <c r="BO51" s="42"/>
      <c r="BU51" s="42"/>
      <c r="CA51" s="42"/>
      <c r="CG51" s="42"/>
      <c r="CM51" s="42"/>
    </row>
    <row r="52" spans="1:216" s="1" customFormat="1" ht="18.75" hidden="1" customHeight="1" x14ac:dyDescent="0.2">
      <c r="C52" s="3"/>
      <c r="D52" s="3"/>
      <c r="E52" s="3"/>
      <c r="F52" s="3"/>
      <c r="G52" s="29"/>
      <c r="I52" s="3"/>
      <c r="J52" s="3"/>
      <c r="K52" s="3"/>
      <c r="L52" s="3"/>
      <c r="M52" s="29"/>
      <c r="O52" s="3"/>
      <c r="P52" s="3"/>
      <c r="Q52" s="3"/>
      <c r="R52" s="3"/>
      <c r="S52" s="29"/>
      <c r="Y52" s="28"/>
      <c r="AE52" s="28"/>
      <c r="AK52" s="28"/>
      <c r="AQ52" s="28"/>
      <c r="AW52" s="28"/>
      <c r="BC52" s="28"/>
      <c r="BI52" s="28"/>
      <c r="BO52" s="28"/>
      <c r="BU52" s="28"/>
      <c r="CA52" s="28"/>
      <c r="CG52" s="28"/>
      <c r="CM52" s="28"/>
      <c r="HH52" s="20"/>
    </row>
    <row r="53" spans="1:216" s="1" customFormat="1" ht="18.75" hidden="1" customHeight="1" x14ac:dyDescent="0.2">
      <c r="A53" s="1" t="s">
        <v>40</v>
      </c>
      <c r="C53" s="22"/>
      <c r="D53" s="22"/>
      <c r="E53" s="22"/>
      <c r="F53" s="22"/>
      <c r="G53" s="50"/>
      <c r="I53" s="22"/>
      <c r="J53" s="22"/>
      <c r="K53" s="22"/>
      <c r="L53" s="22"/>
      <c r="M53" s="50"/>
      <c r="O53" s="22"/>
      <c r="P53" s="22"/>
      <c r="Q53" s="22"/>
      <c r="R53" s="22"/>
      <c r="S53" s="50"/>
      <c r="Y53" s="28"/>
      <c r="AE53" s="28"/>
      <c r="AK53" s="28"/>
      <c r="AQ53" s="28"/>
      <c r="AW53" s="28"/>
      <c r="BC53" s="28"/>
      <c r="BI53" s="28"/>
      <c r="BO53" s="28"/>
      <c r="BU53" s="28"/>
      <c r="CA53" s="28"/>
      <c r="CG53" s="28"/>
      <c r="CM53" s="28"/>
    </row>
    <row r="54" spans="1:216" s="1" customFormat="1" ht="18.75" hidden="1" customHeight="1" x14ac:dyDescent="0.2">
      <c r="A54" s="1" t="s">
        <v>51</v>
      </c>
      <c r="C54" s="22"/>
      <c r="D54" s="22"/>
      <c r="E54" s="22"/>
      <c r="F54" s="22"/>
      <c r="G54" s="50"/>
      <c r="I54" s="22"/>
      <c r="J54" s="22"/>
      <c r="K54" s="22"/>
      <c r="L54" s="22"/>
      <c r="M54" s="50"/>
      <c r="O54" s="22"/>
      <c r="P54" s="22"/>
      <c r="Q54" s="22"/>
      <c r="R54" s="22"/>
      <c r="S54" s="50"/>
      <c r="Y54" s="28"/>
      <c r="AE54" s="28"/>
      <c r="AK54" s="28"/>
      <c r="AQ54" s="28"/>
      <c r="AW54" s="28"/>
      <c r="BC54" s="28"/>
      <c r="BI54" s="28"/>
      <c r="BO54" s="28"/>
      <c r="BU54" s="28"/>
      <c r="CA54" s="28"/>
      <c r="CG54" s="28"/>
      <c r="CM54" s="28"/>
    </row>
    <row r="55" spans="1:216" s="1" customFormat="1" ht="18.75" hidden="1" customHeight="1" x14ac:dyDescent="0.2">
      <c r="A55" s="1" t="s">
        <v>52</v>
      </c>
      <c r="C55" s="22"/>
      <c r="D55" s="22"/>
      <c r="E55" s="22"/>
      <c r="F55" s="22"/>
      <c r="G55" s="50"/>
      <c r="I55" s="22"/>
      <c r="J55" s="22"/>
      <c r="K55" s="22"/>
      <c r="L55" s="22"/>
      <c r="M55" s="50"/>
      <c r="O55" s="22"/>
      <c r="P55" s="22"/>
      <c r="Q55" s="22"/>
      <c r="R55" s="22"/>
      <c r="S55" s="50"/>
      <c r="Y55" s="28"/>
      <c r="AE55" s="28"/>
      <c r="AK55" s="28"/>
      <c r="AQ55" s="28"/>
      <c r="AW55" s="28"/>
      <c r="BC55" s="28"/>
      <c r="BI55" s="28"/>
      <c r="BO55" s="28"/>
      <c r="BU55" s="28"/>
      <c r="CA55" s="28"/>
      <c r="CG55" s="28"/>
      <c r="CM55" s="28"/>
    </row>
    <row r="56" spans="1:216" s="1" customFormat="1" ht="18.75" hidden="1" customHeight="1" x14ac:dyDescent="0.2">
      <c r="A56" s="1" t="s">
        <v>32</v>
      </c>
      <c r="C56" s="22"/>
      <c r="D56" s="22"/>
      <c r="E56" s="22"/>
      <c r="F56" s="22"/>
      <c r="G56" s="50"/>
      <c r="I56" s="22"/>
      <c r="J56" s="22"/>
      <c r="K56" s="22"/>
      <c r="L56" s="22"/>
      <c r="M56" s="50"/>
      <c r="O56" s="22"/>
      <c r="P56" s="22"/>
      <c r="Q56" s="22"/>
      <c r="R56" s="22"/>
      <c r="S56" s="50"/>
      <c r="Y56" s="28"/>
      <c r="AE56" s="28"/>
      <c r="AK56" s="28"/>
      <c r="AQ56" s="28"/>
      <c r="AW56" s="28"/>
      <c r="BC56" s="28"/>
      <c r="BI56" s="28"/>
      <c r="BO56" s="28"/>
      <c r="BU56" s="28"/>
      <c r="CA56" s="28"/>
      <c r="CG56" s="28"/>
      <c r="CM56" s="28"/>
    </row>
    <row r="57" spans="1:216" s="1" customFormat="1" ht="18.75" hidden="1" customHeight="1" x14ac:dyDescent="0.2">
      <c r="C57" s="3"/>
      <c r="D57" s="3"/>
      <c r="E57" s="3"/>
      <c r="F57" s="3"/>
      <c r="G57" s="29"/>
      <c r="I57" s="3"/>
      <c r="J57" s="3"/>
      <c r="K57" s="3"/>
      <c r="L57" s="3"/>
      <c r="M57" s="29"/>
      <c r="O57" s="3"/>
      <c r="P57" s="3"/>
      <c r="Q57" s="3"/>
      <c r="R57" s="3"/>
      <c r="S57" s="29"/>
      <c r="Y57" s="28"/>
      <c r="AE57" s="28"/>
      <c r="AK57" s="28"/>
      <c r="AQ57" s="28"/>
      <c r="AW57" s="28"/>
      <c r="BC57" s="28"/>
      <c r="BI57" s="28"/>
      <c r="BO57" s="28"/>
      <c r="BU57" s="28"/>
      <c r="CA57" s="28"/>
      <c r="CG57" s="28"/>
      <c r="CM57" s="28"/>
    </row>
    <row r="58" spans="1:216" s="1" customFormat="1" ht="18.75" hidden="1" customHeight="1" x14ac:dyDescent="0.2">
      <c r="C58" s="3"/>
      <c r="D58" s="3"/>
      <c r="E58" s="3"/>
      <c r="F58" s="3"/>
      <c r="G58" s="29"/>
      <c r="I58" s="3"/>
      <c r="J58" s="3"/>
      <c r="K58" s="3"/>
      <c r="L58" s="3"/>
      <c r="M58" s="29"/>
      <c r="O58" s="3"/>
      <c r="P58" s="3"/>
      <c r="Q58" s="3"/>
      <c r="R58" s="3"/>
      <c r="S58" s="29"/>
      <c r="Y58" s="28"/>
      <c r="AE58" s="28"/>
      <c r="AK58" s="28"/>
      <c r="AQ58" s="28"/>
      <c r="AW58" s="28"/>
      <c r="BC58" s="28"/>
      <c r="BI58" s="28"/>
      <c r="BO58" s="28"/>
      <c r="BU58" s="28"/>
      <c r="CA58" s="28"/>
      <c r="CG58" s="28"/>
      <c r="CM58" s="28"/>
    </row>
    <row r="59" spans="1:216" x14ac:dyDescent="0.2">
      <c r="C59" s="4"/>
      <c r="D59" s="4"/>
      <c r="E59" s="4"/>
      <c r="F59" s="4"/>
      <c r="G59" s="29"/>
      <c r="I59" s="4"/>
      <c r="J59" s="4"/>
      <c r="K59" s="4"/>
      <c r="L59" s="4"/>
      <c r="M59" s="29"/>
      <c r="O59" s="4"/>
      <c r="P59" s="4"/>
      <c r="Q59" s="4"/>
      <c r="R59" s="4"/>
      <c r="S59" s="29"/>
      <c r="Y59" s="42"/>
      <c r="AE59" s="42"/>
      <c r="AK59" s="42"/>
      <c r="AQ59" s="42"/>
      <c r="AW59" s="42"/>
      <c r="BC59" s="42"/>
      <c r="BI59" s="42"/>
      <c r="BO59" s="42"/>
      <c r="BU59" s="42"/>
      <c r="CA59" s="42"/>
      <c r="CG59" s="42"/>
      <c r="CM59" s="42"/>
    </row>
    <row r="60" spans="1:216" x14ac:dyDescent="0.2">
      <c r="A60" s="1" t="s">
        <v>2</v>
      </c>
      <c r="C60" s="4"/>
      <c r="D60" s="4"/>
      <c r="E60" s="4"/>
      <c r="F60" s="4"/>
      <c r="G60" s="29"/>
      <c r="I60" s="4"/>
      <c r="J60" s="4"/>
      <c r="K60" s="4"/>
      <c r="L60" s="4"/>
      <c r="M60" s="29"/>
      <c r="O60" s="4"/>
      <c r="P60" s="4"/>
      <c r="Q60" s="4"/>
      <c r="R60" s="4"/>
      <c r="S60" s="29"/>
      <c r="U60" s="4"/>
      <c r="V60" s="4"/>
      <c r="W60" s="4"/>
      <c r="X60" s="4"/>
      <c r="Y60" s="29"/>
      <c r="AA60" s="4"/>
      <c r="AB60" s="4"/>
      <c r="AC60" s="4"/>
      <c r="AD60" s="4"/>
      <c r="AE60" s="29"/>
      <c r="AG60" s="4"/>
      <c r="AH60" s="4"/>
      <c r="AI60" s="4"/>
      <c r="AJ60" s="4"/>
      <c r="AK60" s="29"/>
      <c r="AM60" s="4"/>
      <c r="AN60" s="4"/>
      <c r="AO60" s="4"/>
      <c r="AP60" s="4"/>
      <c r="AQ60" s="29"/>
      <c r="AS60" s="4"/>
      <c r="AT60" s="4"/>
      <c r="AU60" s="4"/>
      <c r="AV60" s="4"/>
      <c r="AW60" s="29"/>
      <c r="AY60" s="4"/>
      <c r="AZ60" s="4"/>
      <c r="BA60" s="4"/>
      <c r="BB60" s="4"/>
      <c r="BC60" s="29"/>
      <c r="BE60" s="4"/>
      <c r="BF60" s="4"/>
      <c r="BG60" s="4"/>
      <c r="BH60" s="4"/>
      <c r="BI60" s="29"/>
      <c r="BK60" s="4"/>
      <c r="BL60" s="4"/>
      <c r="BM60" s="4"/>
      <c r="BN60" s="4"/>
      <c r="BO60" s="29"/>
      <c r="BQ60" s="4"/>
      <c r="BR60" s="4"/>
      <c r="BS60" s="4"/>
      <c r="BT60" s="4"/>
      <c r="BU60" s="29"/>
      <c r="BW60" s="4"/>
      <c r="BX60" s="4"/>
      <c r="BY60" s="4"/>
      <c r="BZ60" s="4"/>
      <c r="CA60" s="29"/>
      <c r="CC60" s="4"/>
      <c r="CD60" s="4"/>
      <c r="CE60" s="4"/>
      <c r="CF60" s="4"/>
      <c r="CG60" s="29"/>
      <c r="CI60" s="4"/>
      <c r="CJ60" s="4"/>
      <c r="CK60" s="4"/>
      <c r="CL60" s="4"/>
      <c r="CM60" s="29"/>
    </row>
    <row r="61" spans="1:216" x14ac:dyDescent="0.2">
      <c r="A61" s="2" t="s">
        <v>142</v>
      </c>
      <c r="C61" s="24">
        <v>0.80536912751677847</v>
      </c>
      <c r="D61" s="24">
        <v>6.3087248322147653</v>
      </c>
      <c r="E61" s="24">
        <v>8.724832214765101</v>
      </c>
      <c r="F61" s="24">
        <v>7.651006711409396</v>
      </c>
      <c r="G61" s="60">
        <f>SUM(C61:F61)</f>
        <v>23.489932885906043</v>
      </c>
      <c r="H61" s="24"/>
      <c r="I61" s="24">
        <v>6.8456375838926169</v>
      </c>
      <c r="J61" s="24">
        <v>11.677852348993289</v>
      </c>
      <c r="K61" s="24">
        <v>13.95973154362416</v>
      </c>
      <c r="L61" s="24">
        <v>7.9194630872483218</v>
      </c>
      <c r="M61" s="60">
        <f>SUM(I61:L61)</f>
        <v>40.402684563758392</v>
      </c>
      <c r="N61" s="24"/>
      <c r="O61" s="24">
        <v>10.335570469798657</v>
      </c>
      <c r="P61" s="24">
        <v>21.879194630872483</v>
      </c>
      <c r="Q61" s="24">
        <v>19.463087248322147</v>
      </c>
      <c r="R61" s="24">
        <v>25.369127516778523</v>
      </c>
      <c r="S61" s="60">
        <f>SUM(O61:R61)</f>
        <v>77.046979865771817</v>
      </c>
      <c r="T61" s="24"/>
      <c r="U61" s="24">
        <v>11.543624161073826</v>
      </c>
      <c r="V61" s="24">
        <v>20.536912751677853</v>
      </c>
      <c r="W61" s="24">
        <v>16.107382550335569</v>
      </c>
      <c r="X61" s="24">
        <v>-8.1879194630872476</v>
      </c>
      <c r="Y61" s="60">
        <f>SUM(U61:X61)</f>
        <v>40.000000000000007</v>
      </c>
      <c r="Z61" s="24"/>
      <c r="AA61" s="24">
        <v>-3.4899328859060401</v>
      </c>
      <c r="AB61" s="24">
        <v>13.95973154362416</v>
      </c>
      <c r="AC61" s="24">
        <v>9.5302013422818792</v>
      </c>
      <c r="AD61" s="94">
        <v>6.4429530201342278</v>
      </c>
      <c r="AE61" s="60">
        <f>SUM(AA61:AD61)</f>
        <v>26.442953020134226</v>
      </c>
      <c r="AF61" s="24"/>
      <c r="AG61" s="24">
        <v>1.7449664429530201</v>
      </c>
      <c r="AH61" s="24">
        <v>4.0268456375838921</v>
      </c>
      <c r="AI61" s="24">
        <v>11.677852348993289</v>
      </c>
      <c r="AJ61" s="94">
        <v>-2.8187919463087248</v>
      </c>
      <c r="AK61" s="60">
        <f>SUM(AG61:AJ61)</f>
        <v>14.630872483221477</v>
      </c>
      <c r="AL61" s="24"/>
      <c r="AM61" s="24">
        <v>-4.8322147651006713</v>
      </c>
      <c r="AN61" s="24">
        <v>-7.5167785234899327</v>
      </c>
      <c r="AO61" s="24">
        <v>0.26845637583892618</v>
      </c>
      <c r="AP61" s="94">
        <v>-8.5906040268456376</v>
      </c>
      <c r="AQ61" s="60">
        <f>SUM(AM61:AP61)</f>
        <v>-20.671140939597315</v>
      </c>
      <c r="AR61" s="24"/>
      <c r="AS61" s="24">
        <v>-3.8926174496644292</v>
      </c>
      <c r="AT61" s="24">
        <v>-3.3557046979865772</v>
      </c>
      <c r="AU61" s="24">
        <v>3.8926174496644292</v>
      </c>
      <c r="AV61" s="94">
        <v>3.087248322147651</v>
      </c>
      <c r="AW61" s="60">
        <f>SUM(AS61:AV61)</f>
        <v>-0.26845637583892579</v>
      </c>
      <c r="AX61" s="24"/>
      <c r="AY61" s="24">
        <v>-3.8926174496644292</v>
      </c>
      <c r="AZ61" s="24">
        <v>-0.40268456375838924</v>
      </c>
      <c r="BA61" s="24">
        <v>3.3557046979865772</v>
      </c>
      <c r="BB61" s="94">
        <v>2.9530201342281877</v>
      </c>
      <c r="BC61" s="60">
        <f>SUM(AY61:BB61)</f>
        <v>2.0134228187919461</v>
      </c>
      <c r="BD61" s="24"/>
      <c r="BE61" s="24">
        <v>-10.738255033557047</v>
      </c>
      <c r="BF61" s="24">
        <v>-8.1879194630872476</v>
      </c>
      <c r="BG61" s="24">
        <v>2.6845637583892619</v>
      </c>
      <c r="BH61" s="94">
        <v>-1.0738255033557047</v>
      </c>
      <c r="BI61" s="60">
        <f>SUM(BE61:BH61)</f>
        <v>-17.315436241610733</v>
      </c>
      <c r="BJ61" s="24"/>
      <c r="BK61" s="24">
        <v>-0.67114093959731547</v>
      </c>
      <c r="BL61" s="24">
        <v>-20.402684563758388</v>
      </c>
      <c r="BM61" s="24">
        <v>0.80536912751677847</v>
      </c>
      <c r="BN61" s="94">
        <v>-3.3</v>
      </c>
      <c r="BO61" s="60">
        <f>SUM(BK61:BN61)</f>
        <v>-23.568456375838924</v>
      </c>
      <c r="BP61" s="24"/>
      <c r="BQ61" s="24">
        <v>0.3</v>
      </c>
      <c r="BR61" s="24">
        <v>10.1</v>
      </c>
      <c r="BS61" s="24">
        <v>-21</v>
      </c>
      <c r="BT61" s="94">
        <v>0</v>
      </c>
      <c r="BU61" s="60">
        <f>SUM(BQ61:BT61)</f>
        <v>-10.6</v>
      </c>
      <c r="BV61" s="24"/>
      <c r="BW61" s="24">
        <v>-7.5</v>
      </c>
      <c r="BX61" s="24">
        <v>19.5</v>
      </c>
      <c r="BY61" s="24">
        <v>13.3</v>
      </c>
      <c r="BZ61" s="94">
        <f>19-25.3</f>
        <v>-6.3000000000000007</v>
      </c>
      <c r="CA61" s="60">
        <f>SUM(BW61:BZ61)</f>
        <v>19</v>
      </c>
      <c r="CB61" s="24"/>
      <c r="CC61" s="24">
        <v>-2.5</v>
      </c>
      <c r="CD61" s="24">
        <v>5.3</v>
      </c>
      <c r="CE61" s="24">
        <v>-3</v>
      </c>
      <c r="CF61" s="94">
        <v>-38.4</v>
      </c>
      <c r="CG61" s="60">
        <f>SUM(CC61:CF61)</f>
        <v>-38.6</v>
      </c>
      <c r="CH61" s="24"/>
      <c r="CI61" s="24">
        <v>-20</v>
      </c>
      <c r="CJ61" s="24">
        <v>-14.8</v>
      </c>
      <c r="CK61" s="24">
        <v>-18.8</v>
      </c>
      <c r="CL61" s="94">
        <v>-45.7</v>
      </c>
      <c r="CM61" s="60">
        <f>SUM(CI61:CL61)</f>
        <v>-99.3</v>
      </c>
    </row>
    <row r="62" spans="1:216" x14ac:dyDescent="0.2">
      <c r="A62" s="2" t="s">
        <v>84</v>
      </c>
      <c r="C62" s="24">
        <v>9.5302013422818792</v>
      </c>
      <c r="D62" s="24">
        <v>11.812080536912751</v>
      </c>
      <c r="E62" s="24">
        <v>11.006711409395972</v>
      </c>
      <c r="F62" s="24">
        <v>12.483221476510067</v>
      </c>
      <c r="G62" s="60">
        <f t="shared" ref="G62:G67" si="31">SUM(C62:F62)</f>
        <v>44.832214765100673</v>
      </c>
      <c r="H62" s="24"/>
      <c r="I62" s="24">
        <v>10.604026845637584</v>
      </c>
      <c r="J62" s="24">
        <v>31.677852348993287</v>
      </c>
      <c r="K62" s="24">
        <v>12.483221476510067</v>
      </c>
      <c r="L62" s="24">
        <v>13.422818791946309</v>
      </c>
      <c r="M62" s="60">
        <f t="shared" ref="M62:M67" si="32">SUM(I62:L62)</f>
        <v>68.187919463087255</v>
      </c>
      <c r="N62" s="24"/>
      <c r="O62" s="24">
        <v>15.302013422818792</v>
      </c>
      <c r="P62" s="24">
        <v>19.19463087248322</v>
      </c>
      <c r="Q62" s="24">
        <v>12.483221476510067</v>
      </c>
      <c r="R62" s="24">
        <v>19.328859060402685</v>
      </c>
      <c r="S62" s="60">
        <f t="shared" ref="S62:S67" si="33">SUM(O62:R62)</f>
        <v>66.308724832214764</v>
      </c>
      <c r="T62" s="24"/>
      <c r="U62" s="24">
        <v>15.70469798657718</v>
      </c>
      <c r="V62" s="24">
        <v>20.268456375838927</v>
      </c>
      <c r="W62" s="24">
        <v>8.3221476510067109</v>
      </c>
      <c r="X62" s="24">
        <v>8.1879194630872476</v>
      </c>
      <c r="Y62" s="60">
        <f t="shared" ref="Y62:Y67" si="34">SUM(U62:X62)</f>
        <v>52.483221476510067</v>
      </c>
      <c r="Z62" s="24"/>
      <c r="AA62" s="24">
        <v>5.1006711409395971</v>
      </c>
      <c r="AB62" s="24">
        <v>3.2214765100671139</v>
      </c>
      <c r="AC62" s="24">
        <v>5.3691275167785237</v>
      </c>
      <c r="AD62" s="94">
        <v>5.2348993288590604</v>
      </c>
      <c r="AE62" s="60">
        <f t="shared" ref="AE62:AE67" si="35">SUM(AA62:AD62)</f>
        <v>18.926174496644297</v>
      </c>
      <c r="AF62" s="24"/>
      <c r="AG62" s="24">
        <v>14.36241610738255</v>
      </c>
      <c r="AH62" s="24">
        <v>16.51006711409396</v>
      </c>
      <c r="AI62" s="24">
        <v>7.9194630872483218</v>
      </c>
      <c r="AJ62" s="94">
        <v>6.8456375838926169</v>
      </c>
      <c r="AK62" s="60">
        <f t="shared" ref="AK62:AK67" si="36">SUM(AG62:AJ62)</f>
        <v>45.63758389261745</v>
      </c>
      <c r="AL62" s="24"/>
      <c r="AM62" s="24">
        <v>16.778523489932887</v>
      </c>
      <c r="AN62" s="24">
        <v>19.463087248322147</v>
      </c>
      <c r="AO62" s="24">
        <v>13.95973154362416</v>
      </c>
      <c r="AP62" s="94">
        <v>15.570469798657717</v>
      </c>
      <c r="AQ62" s="60">
        <f t="shared" ref="AQ62:AQ67" si="37">SUM(AM62:AP62)</f>
        <v>65.771812080536904</v>
      </c>
      <c r="AR62" s="24"/>
      <c r="AS62" s="24">
        <v>19.060402684563758</v>
      </c>
      <c r="AT62" s="24">
        <v>19.19463087248322</v>
      </c>
      <c r="AU62" s="24">
        <v>11.677852348993289</v>
      </c>
      <c r="AV62" s="94">
        <v>19.597315436241612</v>
      </c>
      <c r="AW62" s="60">
        <f t="shared" ref="AW62:AW67" si="38">SUM(AS62:AV62)</f>
        <v>69.530201342281885</v>
      </c>
      <c r="AX62" s="24"/>
      <c r="AY62" s="24">
        <v>18.255033557046978</v>
      </c>
      <c r="AZ62" s="24">
        <v>22.953020134228186</v>
      </c>
      <c r="BA62" s="24">
        <v>13.825503355704697</v>
      </c>
      <c r="BB62" s="94">
        <v>20.671140939597315</v>
      </c>
      <c r="BC62" s="60">
        <f t="shared" ref="BC62:BC67" si="39">SUM(AY62:BB62)</f>
        <v>75.704697986577173</v>
      </c>
      <c r="BD62" s="24"/>
      <c r="BE62" s="24">
        <v>34.228187919463089</v>
      </c>
      <c r="BF62" s="24">
        <v>22.14765100671141</v>
      </c>
      <c r="BG62" s="24">
        <v>11.812080536912751</v>
      </c>
      <c r="BH62" s="94">
        <v>22.14765100671141</v>
      </c>
      <c r="BI62" s="60">
        <f t="shared" ref="BI62:BI67" si="40">SUM(BE62:BH62)</f>
        <v>90.335570469798654</v>
      </c>
      <c r="BJ62" s="24"/>
      <c r="BK62" s="24">
        <v>16.778523489932887</v>
      </c>
      <c r="BL62" s="24">
        <v>20.536912751677853</v>
      </c>
      <c r="BM62" s="24">
        <v>12.483221476510067</v>
      </c>
      <c r="BN62" s="94">
        <v>13.9</v>
      </c>
      <c r="BO62" s="60">
        <f t="shared" ref="BO62:BO67" si="41">SUM(BK62:BN62)</f>
        <v>63.698657718120806</v>
      </c>
      <c r="BP62" s="24"/>
      <c r="BQ62" s="24">
        <v>17.600000000000001</v>
      </c>
      <c r="BR62" s="24">
        <v>22.6</v>
      </c>
      <c r="BS62" s="24">
        <v>0.9</v>
      </c>
      <c r="BT62" s="94">
        <v>12.9</v>
      </c>
      <c r="BU62" s="60">
        <f t="shared" ref="BU62:BU67" si="42">SUM(BQ62:BT62)</f>
        <v>54</v>
      </c>
      <c r="BV62" s="24"/>
      <c r="BW62" s="24">
        <v>30.9</v>
      </c>
      <c r="BX62" s="24">
        <v>33.200000000000003</v>
      </c>
      <c r="BY62" s="24">
        <v>19.100000000000001</v>
      </c>
      <c r="BZ62" s="94"/>
      <c r="CA62" s="60"/>
      <c r="CB62" s="24"/>
      <c r="CC62" s="24"/>
      <c r="CD62" s="24"/>
      <c r="CE62" s="24"/>
      <c r="CF62" s="94"/>
      <c r="CG62" s="60"/>
      <c r="CH62" s="24"/>
      <c r="CI62" s="24"/>
      <c r="CJ62" s="24"/>
      <c r="CK62" s="24"/>
      <c r="CL62" s="94"/>
      <c r="CM62" s="60"/>
    </row>
    <row r="63" spans="1:216" hidden="1" x14ac:dyDescent="0.2">
      <c r="A63" s="2" t="s">
        <v>26</v>
      </c>
      <c r="C63" s="24">
        <v>0.53691275167785235</v>
      </c>
      <c r="D63" s="24">
        <v>0.26845637583892618</v>
      </c>
      <c r="E63" s="24">
        <v>0</v>
      </c>
      <c r="F63" s="24">
        <v>0.13422818791946309</v>
      </c>
      <c r="G63" s="60">
        <f t="shared" si="31"/>
        <v>0.93959731543624159</v>
      </c>
      <c r="H63" s="24"/>
      <c r="I63" s="24">
        <v>0</v>
      </c>
      <c r="J63" s="24">
        <v>0</v>
      </c>
      <c r="K63" s="24">
        <v>0</v>
      </c>
      <c r="L63" s="24">
        <v>0</v>
      </c>
      <c r="M63" s="60">
        <f t="shared" si="32"/>
        <v>0</v>
      </c>
      <c r="N63" s="24"/>
      <c r="O63" s="24">
        <v>0</v>
      </c>
      <c r="P63" s="24">
        <v>0</v>
      </c>
      <c r="Q63" s="24">
        <v>0</v>
      </c>
      <c r="R63" s="24">
        <v>0</v>
      </c>
      <c r="S63" s="60">
        <f t="shared" si="33"/>
        <v>0</v>
      </c>
      <c r="T63" s="24"/>
      <c r="U63" s="24">
        <v>0</v>
      </c>
      <c r="V63" s="24">
        <v>0</v>
      </c>
      <c r="W63" s="24">
        <v>0</v>
      </c>
      <c r="X63" s="24">
        <v>0</v>
      </c>
      <c r="Y63" s="60">
        <f t="shared" si="34"/>
        <v>0</v>
      </c>
      <c r="Z63" s="24"/>
      <c r="AA63" s="24">
        <v>0</v>
      </c>
      <c r="AB63" s="24">
        <v>0</v>
      </c>
      <c r="AC63" s="24">
        <v>0</v>
      </c>
      <c r="AD63" s="94">
        <v>0</v>
      </c>
      <c r="AE63" s="60">
        <f t="shared" si="35"/>
        <v>0</v>
      </c>
      <c r="AF63" s="24"/>
      <c r="AG63" s="24">
        <v>0</v>
      </c>
      <c r="AH63" s="24">
        <v>0</v>
      </c>
      <c r="AI63" s="24">
        <v>0</v>
      </c>
      <c r="AJ63" s="94">
        <v>0</v>
      </c>
      <c r="AK63" s="60">
        <f t="shared" si="36"/>
        <v>0</v>
      </c>
      <c r="AL63" s="24"/>
      <c r="AM63" s="24">
        <v>0</v>
      </c>
      <c r="AN63" s="24">
        <v>0</v>
      </c>
      <c r="AO63" s="24">
        <v>0</v>
      </c>
      <c r="AP63" s="94">
        <v>0</v>
      </c>
      <c r="AQ63" s="60">
        <f t="shared" si="37"/>
        <v>0</v>
      </c>
      <c r="AR63" s="24"/>
      <c r="AS63" s="24">
        <v>0</v>
      </c>
      <c r="AT63" s="24">
        <v>0</v>
      </c>
      <c r="AU63" s="24">
        <v>0</v>
      </c>
      <c r="AV63" s="94">
        <v>0</v>
      </c>
      <c r="AW63" s="60">
        <f t="shared" si="38"/>
        <v>0</v>
      </c>
      <c r="AX63" s="24"/>
      <c r="AY63" s="24"/>
      <c r="AZ63" s="24"/>
      <c r="BA63" s="24"/>
      <c r="BB63" s="94"/>
      <c r="BC63" s="60">
        <f t="shared" si="39"/>
        <v>0</v>
      </c>
      <c r="BD63" s="24"/>
      <c r="BE63" s="24"/>
      <c r="BF63" s="24"/>
      <c r="BG63" s="24"/>
      <c r="BH63" s="94"/>
      <c r="BI63" s="60">
        <f t="shared" si="40"/>
        <v>0</v>
      </c>
      <c r="BJ63" s="24"/>
      <c r="BK63" s="24"/>
      <c r="BL63" s="24"/>
      <c r="BM63" s="24"/>
      <c r="BN63" s="94"/>
      <c r="BO63" s="60">
        <f t="shared" si="41"/>
        <v>0</v>
      </c>
      <c r="BP63" s="24"/>
      <c r="BQ63" s="24"/>
      <c r="BR63" s="24"/>
      <c r="BS63" s="24"/>
      <c r="BT63" s="94"/>
      <c r="BU63" s="60">
        <f t="shared" si="42"/>
        <v>0</v>
      </c>
      <c r="BV63" s="24"/>
      <c r="BW63" s="24"/>
      <c r="BX63" s="24"/>
      <c r="BY63" s="24"/>
      <c r="BZ63" s="94"/>
      <c r="CA63" s="60">
        <f t="shared" ref="CA63:CA67" si="43">SUM(BW63:BZ63)</f>
        <v>0</v>
      </c>
      <c r="CB63" s="24"/>
      <c r="CC63" s="24"/>
      <c r="CD63" s="24"/>
      <c r="CE63" s="24"/>
      <c r="CF63" s="94"/>
      <c r="CG63" s="60">
        <f t="shared" ref="CG63:CG67" si="44">SUM(CC63:CF63)</f>
        <v>0</v>
      </c>
      <c r="CH63" s="24"/>
      <c r="CI63" s="24"/>
      <c r="CJ63" s="24"/>
      <c r="CK63" s="24"/>
      <c r="CL63" s="94"/>
      <c r="CM63" s="60">
        <f t="shared" ref="CM63:CM67" si="45">SUM(CI63:CL63)</f>
        <v>0</v>
      </c>
    </row>
    <row r="64" spans="1:216" x14ac:dyDescent="0.2">
      <c r="A64" s="2" t="s">
        <v>74</v>
      </c>
      <c r="C64" s="24">
        <v>-0.53691275167785235</v>
      </c>
      <c r="D64" s="24">
        <v>-0.13422818791946309</v>
      </c>
      <c r="E64" s="24">
        <v>0.13422818791946309</v>
      </c>
      <c r="F64" s="24">
        <v>1.8791946308724832</v>
      </c>
      <c r="G64" s="60">
        <f t="shared" si="31"/>
        <v>1.3422818791946307</v>
      </c>
      <c r="H64" s="24"/>
      <c r="I64" s="24">
        <v>0.80536912751677847</v>
      </c>
      <c r="J64" s="24">
        <v>2.1476510067114094</v>
      </c>
      <c r="K64" s="24">
        <v>2.0134228187919461</v>
      </c>
      <c r="L64" s="24">
        <v>2.1476510067114094</v>
      </c>
      <c r="M64" s="60">
        <f t="shared" si="32"/>
        <v>7.1140939597315445</v>
      </c>
      <c r="N64" s="24"/>
      <c r="O64" s="24">
        <v>2.1476510067114094</v>
      </c>
      <c r="P64" s="24">
        <v>4.6979865771812079</v>
      </c>
      <c r="Q64" s="24">
        <v>2.8187919463087248</v>
      </c>
      <c r="R64" s="24">
        <v>6.5771812080536911</v>
      </c>
      <c r="S64" s="60">
        <f t="shared" si="33"/>
        <v>16.241610738255034</v>
      </c>
      <c r="T64" s="24"/>
      <c r="U64" s="24">
        <v>6.3087248322147653</v>
      </c>
      <c r="V64" s="24">
        <v>12.214765100671141</v>
      </c>
      <c r="W64" s="24">
        <v>10.201342281879194</v>
      </c>
      <c r="X64" s="24">
        <v>1.0738255033557047</v>
      </c>
      <c r="Y64" s="60">
        <f t="shared" si="34"/>
        <v>29.798657718120804</v>
      </c>
      <c r="Z64" s="24"/>
      <c r="AA64" s="24">
        <v>4.9664429530201337</v>
      </c>
      <c r="AB64" s="24">
        <v>5.7718120805369129</v>
      </c>
      <c r="AC64" s="24">
        <v>5.2348993288590604</v>
      </c>
      <c r="AD64" s="94">
        <v>2.2818791946308723</v>
      </c>
      <c r="AE64" s="60">
        <f t="shared" si="35"/>
        <v>18.255033557046978</v>
      </c>
      <c r="AF64" s="24"/>
      <c r="AG64" s="24">
        <v>2.1476510067114094</v>
      </c>
      <c r="AH64" s="24">
        <v>3.087248322147651</v>
      </c>
      <c r="AI64" s="24">
        <v>2.4161073825503356</v>
      </c>
      <c r="AJ64" s="94">
        <v>4.4295302013422821</v>
      </c>
      <c r="AK64" s="60">
        <f t="shared" si="36"/>
        <v>12.080536912751679</v>
      </c>
      <c r="AL64" s="24"/>
      <c r="AM64" s="24">
        <v>3.7583892617449663</v>
      </c>
      <c r="AN64" s="24">
        <v>2.8187919463087248</v>
      </c>
      <c r="AO64" s="24">
        <v>12.080536912751677</v>
      </c>
      <c r="AP64" s="94">
        <v>2.5503355704697985</v>
      </c>
      <c r="AQ64" s="60">
        <f t="shared" si="37"/>
        <v>21.208053691275168</v>
      </c>
      <c r="AR64" s="24"/>
      <c r="AS64" s="103">
        <v>0</v>
      </c>
      <c r="AT64" s="103">
        <v>0</v>
      </c>
      <c r="AU64" s="24">
        <v>0</v>
      </c>
      <c r="AV64" s="94">
        <v>0</v>
      </c>
      <c r="AW64" s="60">
        <f t="shared" si="38"/>
        <v>0</v>
      </c>
      <c r="AX64" s="24"/>
      <c r="AY64" s="103"/>
      <c r="AZ64" s="103"/>
      <c r="BA64" s="24"/>
      <c r="BB64" s="94"/>
      <c r="BC64" s="60">
        <f t="shared" si="39"/>
        <v>0</v>
      </c>
      <c r="BD64" s="24"/>
      <c r="BE64" s="103"/>
      <c r="BF64" s="103"/>
      <c r="BG64" s="24"/>
      <c r="BH64" s="94"/>
      <c r="BI64" s="60">
        <f t="shared" si="40"/>
        <v>0</v>
      </c>
      <c r="BJ64" s="24"/>
      <c r="BK64" s="103"/>
      <c r="BL64" s="103"/>
      <c r="BM64" s="24"/>
      <c r="BN64" s="94"/>
      <c r="BO64" s="60">
        <f t="shared" si="41"/>
        <v>0</v>
      </c>
      <c r="BP64" s="24"/>
      <c r="BQ64" s="103"/>
      <c r="BR64" s="103"/>
      <c r="BS64" s="24"/>
      <c r="BT64" s="94"/>
      <c r="BU64" s="60">
        <f t="shared" si="42"/>
        <v>0</v>
      </c>
      <c r="BV64" s="24"/>
      <c r="BW64" s="103"/>
      <c r="BX64" s="103"/>
      <c r="BY64" s="24"/>
      <c r="BZ64" s="94"/>
      <c r="CA64" s="60">
        <f t="shared" si="43"/>
        <v>0</v>
      </c>
      <c r="CB64" s="24"/>
      <c r="CC64" s="103"/>
      <c r="CD64" s="103"/>
      <c r="CE64" s="24"/>
      <c r="CF64" s="94"/>
      <c r="CG64" s="60">
        <f t="shared" si="44"/>
        <v>0</v>
      </c>
      <c r="CH64" s="24"/>
      <c r="CI64" s="103"/>
      <c r="CJ64" s="103"/>
      <c r="CK64" s="24"/>
      <c r="CL64" s="94"/>
      <c r="CM64" s="60">
        <f t="shared" si="45"/>
        <v>0</v>
      </c>
    </row>
    <row r="65" spans="1:91" x14ac:dyDescent="0.2">
      <c r="A65" s="2" t="s">
        <v>140</v>
      </c>
      <c r="C65" s="24">
        <v>-0.53691275167785235</v>
      </c>
      <c r="D65" s="24">
        <v>-1.0738255033557047</v>
      </c>
      <c r="E65" s="24">
        <v>-0.53691275167785235</v>
      </c>
      <c r="F65" s="24">
        <v>-1.7449664429530201</v>
      </c>
      <c r="G65" s="60">
        <f t="shared" si="31"/>
        <v>-3.8926174496644297</v>
      </c>
      <c r="H65" s="24"/>
      <c r="I65" s="24">
        <v>-1.0738255033557047</v>
      </c>
      <c r="J65" s="24">
        <v>-1.2080536912751678</v>
      </c>
      <c r="K65" s="24">
        <v>-1.4765100671140938</v>
      </c>
      <c r="L65" s="24">
        <v>-0.40268456375838924</v>
      </c>
      <c r="M65" s="60">
        <f t="shared" si="32"/>
        <v>-4.1610738255033555</v>
      </c>
      <c r="N65" s="24"/>
      <c r="O65" s="24">
        <v>-1.6107382550335569</v>
      </c>
      <c r="P65" s="24">
        <v>-0.67114093959731547</v>
      </c>
      <c r="Q65" s="24">
        <v>-0.93959731543624159</v>
      </c>
      <c r="R65" s="24">
        <v>-1.0738255033557047</v>
      </c>
      <c r="S65" s="60">
        <f t="shared" si="33"/>
        <v>-4.2953020134228188</v>
      </c>
      <c r="T65" s="24"/>
      <c r="U65" s="24">
        <v>-2.2818791946308723</v>
      </c>
      <c r="V65" s="24">
        <v>-0.53691275167785235</v>
      </c>
      <c r="W65" s="24">
        <v>-1.2080536912751678</v>
      </c>
      <c r="X65" s="24">
        <v>-2.1476510067114094</v>
      </c>
      <c r="Y65" s="60">
        <f t="shared" si="34"/>
        <v>-6.1744966442953029</v>
      </c>
      <c r="Z65" s="24"/>
      <c r="AA65" s="24">
        <v>-1.6107382550335569</v>
      </c>
      <c r="AB65" s="24">
        <v>-2.1476510067114094</v>
      </c>
      <c r="AC65" s="24">
        <v>-1.7449664429530201</v>
      </c>
      <c r="AD65" s="94">
        <v>-0.80536912751677847</v>
      </c>
      <c r="AE65" s="60">
        <f t="shared" si="35"/>
        <v>-6.3087248322147644</v>
      </c>
      <c r="AF65" s="24"/>
      <c r="AG65" s="24">
        <v>-1.2080536912751678</v>
      </c>
      <c r="AH65" s="24">
        <v>-1.0738255033557047</v>
      </c>
      <c r="AI65" s="24">
        <v>-0.67114093959731547</v>
      </c>
      <c r="AJ65" s="94">
        <v>-0.13422818791946309</v>
      </c>
      <c r="AK65" s="60">
        <f t="shared" si="36"/>
        <v>-3.0872483221476505</v>
      </c>
      <c r="AL65" s="24"/>
      <c r="AM65" s="24">
        <v>-1.4765100671140938</v>
      </c>
      <c r="AN65" s="24">
        <v>-0.53691275167785235</v>
      </c>
      <c r="AO65" s="24">
        <v>-0.13422818791946309</v>
      </c>
      <c r="AP65" s="94">
        <v>0.53691275167785235</v>
      </c>
      <c r="AQ65" s="60">
        <f t="shared" si="37"/>
        <v>-1.6107382550335565</v>
      </c>
      <c r="AR65" s="24"/>
      <c r="AS65" s="24">
        <v>-0.67114093959731547</v>
      </c>
      <c r="AT65" s="24">
        <v>-0.93959731543624159</v>
      </c>
      <c r="AU65" s="24">
        <v>-0.80536912751677847</v>
      </c>
      <c r="AV65" s="94">
        <v>1.3422818791946309</v>
      </c>
      <c r="AW65" s="60">
        <f t="shared" si="38"/>
        <v>-1.0738255033557047</v>
      </c>
      <c r="AX65" s="24"/>
      <c r="AY65" s="24">
        <v>-1.2080536912751678</v>
      </c>
      <c r="AZ65" s="24">
        <v>-0.67114093959731547</v>
      </c>
      <c r="BA65" s="24">
        <v>-0.40268456375838924</v>
      </c>
      <c r="BB65" s="94">
        <v>-0.13422818791946309</v>
      </c>
      <c r="BC65" s="60">
        <f t="shared" si="39"/>
        <v>-2.4161073825503352</v>
      </c>
      <c r="BD65" s="24"/>
      <c r="BE65" s="24">
        <v>-0.80536912751677847</v>
      </c>
      <c r="BF65" s="24">
        <v>-1.3422818791946309</v>
      </c>
      <c r="BG65" s="24">
        <v>-0.67114093959731547</v>
      </c>
      <c r="BH65" s="94">
        <v>2.1476510067114094</v>
      </c>
      <c r="BI65" s="60">
        <f t="shared" si="40"/>
        <v>-0.67114093959731536</v>
      </c>
      <c r="BJ65" s="24"/>
      <c r="BK65" s="24">
        <v>-0.93959731543624159</v>
      </c>
      <c r="BL65" s="24">
        <v>-4.4295302013422821</v>
      </c>
      <c r="BM65" s="24">
        <v>0.80536912751677847</v>
      </c>
      <c r="BN65" s="94">
        <v>2.1</v>
      </c>
      <c r="BO65" s="60">
        <f t="shared" si="41"/>
        <v>-2.4637583892617454</v>
      </c>
      <c r="BP65" s="24"/>
      <c r="BQ65" s="24">
        <v>-1</v>
      </c>
      <c r="BR65" s="24">
        <v>-1.6</v>
      </c>
      <c r="BS65" s="24">
        <v>-0.1</v>
      </c>
      <c r="BT65" s="94">
        <v>4.2</v>
      </c>
      <c r="BU65" s="60">
        <f t="shared" si="42"/>
        <v>1.5</v>
      </c>
      <c r="BV65" s="24"/>
      <c r="BW65" s="24">
        <v>-3.1</v>
      </c>
      <c r="BX65" s="24">
        <v>-0.5</v>
      </c>
      <c r="BY65" s="24">
        <v>-1.8</v>
      </c>
      <c r="BZ65" s="94">
        <f>-1.7+5.4</f>
        <v>3.7</v>
      </c>
      <c r="CA65" s="60">
        <f t="shared" si="43"/>
        <v>-1.7000000000000002</v>
      </c>
      <c r="CB65" s="24"/>
      <c r="CC65" s="24">
        <v>-3.1</v>
      </c>
      <c r="CD65" s="24">
        <v>-1</v>
      </c>
      <c r="CE65" s="24">
        <v>0</v>
      </c>
      <c r="CF65" s="94">
        <v>5.2</v>
      </c>
      <c r="CG65" s="60">
        <f t="shared" si="44"/>
        <v>1.1000000000000005</v>
      </c>
      <c r="CH65" s="24"/>
      <c r="CI65" s="24">
        <v>-2.6</v>
      </c>
      <c r="CJ65" s="24">
        <v>1.5</v>
      </c>
      <c r="CK65" s="24">
        <v>1.8</v>
      </c>
      <c r="CL65" s="94">
        <v>3.3</v>
      </c>
      <c r="CM65" s="60">
        <f t="shared" si="45"/>
        <v>4</v>
      </c>
    </row>
    <row r="66" spans="1:91" hidden="1" x14ac:dyDescent="0.2">
      <c r="A66" s="2" t="s">
        <v>30</v>
      </c>
      <c r="C66" s="24">
        <v>0</v>
      </c>
      <c r="D66" s="24">
        <v>0</v>
      </c>
      <c r="E66" s="24">
        <v>0</v>
      </c>
      <c r="F66" s="24">
        <v>0</v>
      </c>
      <c r="G66" s="60">
        <f t="shared" si="31"/>
        <v>0</v>
      </c>
      <c r="H66" s="24"/>
      <c r="I66" s="24">
        <v>0</v>
      </c>
      <c r="J66" s="24">
        <v>0</v>
      </c>
      <c r="K66" s="24">
        <v>0</v>
      </c>
      <c r="L66" s="24">
        <v>0</v>
      </c>
      <c r="M66" s="60">
        <f t="shared" si="32"/>
        <v>0</v>
      </c>
      <c r="N66" s="24"/>
      <c r="O66" s="24">
        <v>0</v>
      </c>
      <c r="P66" s="24">
        <v>0</v>
      </c>
      <c r="Q66" s="24">
        <v>0</v>
      </c>
      <c r="R66" s="24">
        <v>0</v>
      </c>
      <c r="S66" s="60">
        <f t="shared" si="33"/>
        <v>0</v>
      </c>
      <c r="T66" s="24"/>
      <c r="U66" s="24">
        <v>0</v>
      </c>
      <c r="V66" s="24">
        <v>0</v>
      </c>
      <c r="W66" s="24">
        <v>0</v>
      </c>
      <c r="X66" s="24">
        <v>0</v>
      </c>
      <c r="Y66" s="60">
        <f t="shared" si="34"/>
        <v>0</v>
      </c>
      <c r="Z66" s="24"/>
      <c r="AA66" s="24">
        <v>0</v>
      </c>
      <c r="AB66" s="24">
        <v>0</v>
      </c>
      <c r="AC66" s="24">
        <v>0</v>
      </c>
      <c r="AD66" s="94">
        <v>0</v>
      </c>
      <c r="AE66" s="60">
        <f t="shared" si="35"/>
        <v>0</v>
      </c>
      <c r="AF66" s="24"/>
      <c r="AG66" s="24">
        <v>0</v>
      </c>
      <c r="AH66" s="24">
        <v>0</v>
      </c>
      <c r="AI66" s="24">
        <v>0</v>
      </c>
      <c r="AJ66" s="94">
        <v>0</v>
      </c>
      <c r="AK66" s="60">
        <f t="shared" si="36"/>
        <v>0</v>
      </c>
      <c r="AL66" s="24"/>
      <c r="AM66" s="24">
        <v>0</v>
      </c>
      <c r="AN66" s="24">
        <v>0</v>
      </c>
      <c r="AO66" s="24">
        <v>0</v>
      </c>
      <c r="AP66" s="94">
        <v>0</v>
      </c>
      <c r="AQ66" s="60">
        <f t="shared" si="37"/>
        <v>0</v>
      </c>
      <c r="AR66" s="24"/>
      <c r="AS66" s="24">
        <v>0</v>
      </c>
      <c r="AT66" s="24">
        <v>0</v>
      </c>
      <c r="AU66" s="24">
        <v>0</v>
      </c>
      <c r="AV66" s="94">
        <v>0</v>
      </c>
      <c r="AW66" s="60">
        <f t="shared" si="38"/>
        <v>0</v>
      </c>
      <c r="AX66" s="24"/>
      <c r="AY66" s="24">
        <v>0</v>
      </c>
      <c r="AZ66" s="24">
        <v>0</v>
      </c>
      <c r="BA66" s="24">
        <v>0</v>
      </c>
      <c r="BB66" s="94">
        <v>0</v>
      </c>
      <c r="BC66" s="60">
        <f t="shared" si="39"/>
        <v>0</v>
      </c>
      <c r="BD66" s="24"/>
      <c r="BE66" s="24">
        <v>0</v>
      </c>
      <c r="BF66" s="24">
        <v>0</v>
      </c>
      <c r="BG66" s="24">
        <v>0</v>
      </c>
      <c r="BH66" s="94">
        <v>0</v>
      </c>
      <c r="BI66" s="60">
        <f t="shared" si="40"/>
        <v>0</v>
      </c>
      <c r="BJ66" s="24"/>
      <c r="BK66" s="24">
        <v>0</v>
      </c>
      <c r="BL66" s="24">
        <v>0</v>
      </c>
      <c r="BM66" s="24">
        <v>0</v>
      </c>
      <c r="BN66" s="94"/>
      <c r="BO66" s="60">
        <f t="shared" si="41"/>
        <v>0</v>
      </c>
      <c r="BP66" s="24"/>
      <c r="BQ66" s="24">
        <v>0</v>
      </c>
      <c r="BR66" s="24"/>
      <c r="BS66" s="24"/>
      <c r="BT66" s="94"/>
      <c r="BU66" s="60">
        <f t="shared" si="42"/>
        <v>0</v>
      </c>
      <c r="BV66" s="24"/>
      <c r="BW66" s="24">
        <v>0</v>
      </c>
      <c r="BX66" s="24"/>
      <c r="BY66" s="24"/>
      <c r="BZ66" s="94"/>
      <c r="CA66" s="60">
        <f t="shared" si="43"/>
        <v>0</v>
      </c>
      <c r="CB66" s="24"/>
      <c r="CC66" s="24">
        <v>0</v>
      </c>
      <c r="CD66" s="24"/>
      <c r="CE66" s="24"/>
      <c r="CF66" s="94"/>
      <c r="CG66" s="60">
        <f t="shared" si="44"/>
        <v>0</v>
      </c>
      <c r="CH66" s="24"/>
      <c r="CI66" s="24">
        <v>0</v>
      </c>
      <c r="CJ66" s="24"/>
      <c r="CK66" s="24"/>
      <c r="CL66" s="94"/>
      <c r="CM66" s="60">
        <f t="shared" si="45"/>
        <v>0</v>
      </c>
    </row>
    <row r="67" spans="1:91" x14ac:dyDescent="0.2">
      <c r="A67" s="2" t="s">
        <v>50</v>
      </c>
      <c r="C67" s="24">
        <v>0.13422818791946309</v>
      </c>
      <c r="D67" s="24">
        <v>-0.40268456375838924</v>
      </c>
      <c r="E67" s="24">
        <v>-0.67114093959731547</v>
      </c>
      <c r="F67" s="24">
        <v>-0.67114093959731547</v>
      </c>
      <c r="G67" s="60">
        <f t="shared" si="31"/>
        <v>-1.6107382550335569</v>
      </c>
      <c r="H67" s="24"/>
      <c r="I67" s="24">
        <v>-0.53691275167785235</v>
      </c>
      <c r="J67" s="24">
        <v>-0.80536912751677847</v>
      </c>
      <c r="K67" s="24">
        <v>0.13422818791946309</v>
      </c>
      <c r="L67" s="24">
        <v>-0.53691275167785235</v>
      </c>
      <c r="M67" s="60">
        <f t="shared" si="32"/>
        <v>-1.7449664429530198</v>
      </c>
      <c r="N67" s="24"/>
      <c r="O67" s="24">
        <v>-0.53691275167785235</v>
      </c>
      <c r="P67" s="24">
        <v>-0.67114093959731547</v>
      </c>
      <c r="Q67" s="24">
        <v>-0.53691275167785235</v>
      </c>
      <c r="R67" s="24">
        <v>-1.4765100671140938</v>
      </c>
      <c r="S67" s="60">
        <f t="shared" si="33"/>
        <v>-3.2214765100671139</v>
      </c>
      <c r="T67" s="24"/>
      <c r="U67" s="24">
        <v>-0.93959731543624159</v>
      </c>
      <c r="V67" s="24">
        <v>-1.8791946308724832</v>
      </c>
      <c r="W67" s="24">
        <v>-1.0738255033557047</v>
      </c>
      <c r="X67" s="24">
        <v>-2.4161073825503356</v>
      </c>
      <c r="Y67" s="60">
        <f t="shared" si="34"/>
        <v>-6.3087248322147653</v>
      </c>
      <c r="Z67" s="24"/>
      <c r="AA67" s="24">
        <v>-0.13422818791946309</v>
      </c>
      <c r="AB67" s="24">
        <v>-1.2080536912751678</v>
      </c>
      <c r="AC67" s="24">
        <v>-0.80536912751677847</v>
      </c>
      <c r="AD67" s="94">
        <v>0.67114093959731547</v>
      </c>
      <c r="AE67" s="60">
        <f t="shared" si="35"/>
        <v>-1.476510067114094</v>
      </c>
      <c r="AF67" s="24"/>
      <c r="AG67" s="24">
        <v>-0.93959731543624159</v>
      </c>
      <c r="AH67" s="24">
        <v>-1.0738255033557047</v>
      </c>
      <c r="AI67" s="24">
        <v>-1.4765100671140938</v>
      </c>
      <c r="AJ67" s="94">
        <v>-1.3422818791946309</v>
      </c>
      <c r="AK67" s="60">
        <f t="shared" si="36"/>
        <v>-4.8322147651006713</v>
      </c>
      <c r="AL67" s="24"/>
      <c r="AM67" s="24">
        <v>-1.2080536912751678</v>
      </c>
      <c r="AN67" s="24">
        <v>-1.3422818791946309</v>
      </c>
      <c r="AO67" s="24">
        <v>-1.3422818791946309</v>
      </c>
      <c r="AP67" s="94">
        <v>-1.0738255033557047</v>
      </c>
      <c r="AQ67" s="60">
        <f t="shared" si="37"/>
        <v>-4.9664429530201346</v>
      </c>
      <c r="AR67" s="24"/>
      <c r="AS67" s="24">
        <v>-0.67114093959731547</v>
      </c>
      <c r="AT67" s="24">
        <v>-1.6107382550335569</v>
      </c>
      <c r="AU67" s="24">
        <v>-1.0738255033557047</v>
      </c>
      <c r="AV67" s="94">
        <v>-1.3422818791946309</v>
      </c>
      <c r="AW67" s="60">
        <f t="shared" si="38"/>
        <v>-4.6979865771812079</v>
      </c>
      <c r="AX67" s="24"/>
      <c r="AY67" s="24">
        <v>-1.3422818791946309</v>
      </c>
      <c r="AZ67" s="24">
        <v>-1.8791946308724832</v>
      </c>
      <c r="BA67" s="24">
        <v>-2.6845637583892619</v>
      </c>
      <c r="BB67" s="94">
        <v>-1.2080536912751678</v>
      </c>
      <c r="BC67" s="60">
        <f t="shared" si="39"/>
        <v>-7.1140939597315445</v>
      </c>
      <c r="BD67" s="24"/>
      <c r="BE67" s="24">
        <v>-1.0738255033557047</v>
      </c>
      <c r="BF67" s="24">
        <v>-1.0738255033557047</v>
      </c>
      <c r="BG67" s="24">
        <v>-0.80536912751677847</v>
      </c>
      <c r="BH67" s="94">
        <v>-1.6107382550335569</v>
      </c>
      <c r="BI67" s="60">
        <f t="shared" si="40"/>
        <v>-4.5637583892617446</v>
      </c>
      <c r="BJ67" s="24"/>
      <c r="BK67" s="24">
        <v>-0.67114093959731547</v>
      </c>
      <c r="BL67" s="24">
        <v>-1.3422818791946309</v>
      </c>
      <c r="BM67" s="24">
        <v>-0.53691275167785235</v>
      </c>
      <c r="BN67" s="94">
        <v>-0.9</v>
      </c>
      <c r="BO67" s="60">
        <f t="shared" si="41"/>
        <v>-3.4503355704697989</v>
      </c>
      <c r="BP67" s="24"/>
      <c r="BQ67" s="24">
        <v>-0.67114093959731547</v>
      </c>
      <c r="BR67" s="24">
        <v>-0.8</v>
      </c>
      <c r="BS67" s="24">
        <v>-0.6</v>
      </c>
      <c r="BT67" s="94">
        <v>-2.5</v>
      </c>
      <c r="BU67" s="60">
        <f t="shared" si="42"/>
        <v>-4.5711409395973153</v>
      </c>
      <c r="BV67" s="24"/>
      <c r="BW67" s="24">
        <v>0</v>
      </c>
      <c r="BX67" s="24">
        <v>0</v>
      </c>
      <c r="BY67" s="24">
        <v>0</v>
      </c>
      <c r="BZ67" s="94"/>
      <c r="CA67" s="60">
        <f t="shared" si="43"/>
        <v>0</v>
      </c>
      <c r="CB67" s="24"/>
      <c r="CC67" s="24"/>
      <c r="CD67" s="24"/>
      <c r="CE67" s="24"/>
      <c r="CF67" s="94"/>
      <c r="CG67" s="60">
        <f t="shared" si="44"/>
        <v>0</v>
      </c>
      <c r="CH67" s="24"/>
      <c r="CI67" s="24"/>
      <c r="CJ67" s="24"/>
      <c r="CK67" s="24"/>
      <c r="CL67" s="94"/>
      <c r="CM67" s="60">
        <f t="shared" si="45"/>
        <v>0</v>
      </c>
    </row>
    <row r="68" spans="1:91" s="44" customFormat="1" ht="18.75" customHeight="1" x14ac:dyDescent="0.2">
      <c r="C68" s="95">
        <f>SUM(C60:C67)</f>
        <v>9.9328859060402692</v>
      </c>
      <c r="D68" s="95">
        <f>SUM(D60:D67)</f>
        <v>16.778523489932891</v>
      </c>
      <c r="E68" s="95">
        <f>SUM(E60:E67)</f>
        <v>18.657718120805367</v>
      </c>
      <c r="F68" s="95">
        <f>SUM(F60:F67)</f>
        <v>19.73154362416107</v>
      </c>
      <c r="G68" s="96">
        <f>SUM(G60:G67)</f>
        <v>65.10067114093961</v>
      </c>
      <c r="H68" s="95"/>
      <c r="I68" s="95">
        <f>SUM(I60:I67)</f>
        <v>16.644295302013425</v>
      </c>
      <c r="J68" s="95">
        <f>SUM(J60:J67)</f>
        <v>43.489932885906036</v>
      </c>
      <c r="K68" s="95">
        <f>SUM(K60:K67)</f>
        <v>27.114093959731537</v>
      </c>
      <c r="L68" s="95">
        <f>SUM(L60:L67)</f>
        <v>22.550335570469798</v>
      </c>
      <c r="M68" s="96">
        <f>SUM(M60:M67)</f>
        <v>109.79865771812084</v>
      </c>
      <c r="N68" s="95"/>
      <c r="O68" s="95">
        <f>SUM(O60:O67)</f>
        <v>25.63758389261745</v>
      </c>
      <c r="P68" s="95">
        <f>SUM(P60:P67)</f>
        <v>44.429530201342288</v>
      </c>
      <c r="Q68" s="95">
        <f>SUM(Q60:Q67)</f>
        <v>33.288590604026844</v>
      </c>
      <c r="R68" s="95">
        <f>SUM(R60:R67)</f>
        <v>48.724832214765101</v>
      </c>
      <c r="S68" s="96">
        <f>SUM(S60:S67)</f>
        <v>152.08053691275168</v>
      </c>
      <c r="T68" s="95"/>
      <c r="U68" s="95">
        <f>SUM(U60:U67)</f>
        <v>30.335570469798661</v>
      </c>
      <c r="V68" s="95">
        <f>SUM(V60:V67)</f>
        <v>50.604026845637591</v>
      </c>
      <c r="W68" s="95">
        <f>SUM(W60:W67)</f>
        <v>32.348993288590599</v>
      </c>
      <c r="X68" s="95">
        <f>SUM(X60:X67)</f>
        <v>-3.4899328859060406</v>
      </c>
      <c r="Y68" s="96">
        <f>SUM(Y60:Y67)</f>
        <v>109.79865771812081</v>
      </c>
      <c r="Z68" s="95"/>
      <c r="AA68" s="95">
        <f>SUM(AA60:AA67)</f>
        <v>4.8322147651006713</v>
      </c>
      <c r="AB68" s="95">
        <f>SUM(AB60:AB67)</f>
        <v>19.597315436241612</v>
      </c>
      <c r="AC68" s="95">
        <f>SUM(AC60:AC67)</f>
        <v>17.583892617449663</v>
      </c>
      <c r="AD68" s="95">
        <f>SUM(AD60:AD67)</f>
        <v>13.825503355704695</v>
      </c>
      <c r="AE68" s="96">
        <f>SUM(AE60:AE67)</f>
        <v>55.838926174496642</v>
      </c>
      <c r="AF68" s="95"/>
      <c r="AG68" s="95">
        <f>SUM(AG60:AG67)</f>
        <v>16.107382550335572</v>
      </c>
      <c r="AH68" s="95">
        <f>SUM(AH60:AH67)</f>
        <v>21.476510067114098</v>
      </c>
      <c r="AI68" s="95">
        <f>SUM(AI60:AI67)</f>
        <v>19.865771812080538</v>
      </c>
      <c r="AJ68" s="95">
        <f>SUM(AJ60:AJ67)</f>
        <v>6.9798657718120802</v>
      </c>
      <c r="AK68" s="96">
        <f>SUM(AK60:AK67)</f>
        <v>64.429530201342288</v>
      </c>
      <c r="AL68" s="95"/>
      <c r="AM68" s="95">
        <f>SUM(AM60:AM67)</f>
        <v>13.020134228187921</v>
      </c>
      <c r="AN68" s="95">
        <f>SUM(AN60:AN67)</f>
        <v>12.885906040268456</v>
      </c>
      <c r="AO68" s="95">
        <f>SUM(AO60:AO67)</f>
        <v>24.832214765100673</v>
      </c>
      <c r="AP68" s="95">
        <f>SUM(AP60:AP67)</f>
        <v>8.9932885906040241</v>
      </c>
      <c r="AQ68" s="96">
        <f>SUM(AQ60:AQ67)</f>
        <v>59.731543624161063</v>
      </c>
      <c r="AR68" s="95"/>
      <c r="AS68" s="95">
        <f>SUM(AS60:AS67)</f>
        <v>13.825503355704699</v>
      </c>
      <c r="AT68" s="95">
        <f>SUM(AT60:AT67)</f>
        <v>13.288590604026844</v>
      </c>
      <c r="AU68" s="95">
        <f>SUM(AU60:AU67)</f>
        <v>13.691275167785236</v>
      </c>
      <c r="AV68" s="95">
        <f>SUM(AV60:AV67)</f>
        <v>22.684563758389263</v>
      </c>
      <c r="AW68" s="96">
        <f>SUM(AW60:AW67)</f>
        <v>63.489932885906043</v>
      </c>
      <c r="AX68" s="95"/>
      <c r="AY68" s="95">
        <f>SUM(AY60:AY67)</f>
        <v>11.812080536912749</v>
      </c>
      <c r="AZ68" s="95">
        <f>SUM(AZ60:AZ67)</f>
        <v>20</v>
      </c>
      <c r="BA68" s="95">
        <f>SUM(BA60:BA67)</f>
        <v>14.093959731543626</v>
      </c>
      <c r="BB68" s="95">
        <f>SUM(BB60:BB67)</f>
        <v>22.281879194630871</v>
      </c>
      <c r="BC68" s="96">
        <f>SUM(BC60:BC67)</f>
        <v>68.187919463087241</v>
      </c>
      <c r="BD68" s="95"/>
      <c r="BE68" s="95">
        <f>SUM(BE60:BE67)</f>
        <v>21.61073825503356</v>
      </c>
      <c r="BF68" s="95">
        <f>SUM(BF60:BF67)</f>
        <v>11.543624161073826</v>
      </c>
      <c r="BG68" s="95">
        <f>SUM(BG60:BG67)</f>
        <v>13.020134228187919</v>
      </c>
      <c r="BH68" s="95">
        <f>SUM(BH60:BH67)</f>
        <v>21.61073825503356</v>
      </c>
      <c r="BI68" s="96">
        <f>SUM(BI60:BI67)</f>
        <v>67.785234899328842</v>
      </c>
      <c r="BJ68" s="95"/>
      <c r="BK68" s="95">
        <f>SUM(BK60:BK67)</f>
        <v>14.496644295302016</v>
      </c>
      <c r="BL68" s="95">
        <f>SUM(BL60:BL67)</f>
        <v>-5.6375838926174477</v>
      </c>
      <c r="BM68" s="95">
        <f>SUM(BM60:BM67)</f>
        <v>13.557046979865772</v>
      </c>
      <c r="BN68" s="95">
        <f>SUM(BN60:BN67)</f>
        <v>11.8</v>
      </c>
      <c r="BO68" s="96">
        <f>SUM(BO60:BO67)</f>
        <v>34.216107382550334</v>
      </c>
      <c r="BP68" s="95"/>
      <c r="BQ68" s="95">
        <f>SUM(BQ60:BQ67)</f>
        <v>16.228859060402687</v>
      </c>
      <c r="BR68" s="95">
        <f>SUM(BR60:BR67)</f>
        <v>30.3</v>
      </c>
      <c r="BS68" s="95">
        <f>SUM(BS60:BS67)</f>
        <v>-20.800000000000004</v>
      </c>
      <c r="BT68" s="95">
        <f>SUM(BT60:BT67)</f>
        <v>14.600000000000001</v>
      </c>
      <c r="BU68" s="96">
        <f>SUM(BU60:BU67)</f>
        <v>40.328859060402685</v>
      </c>
      <c r="BV68" s="95"/>
      <c r="BW68" s="95">
        <f>SUM(BW60:BW67)</f>
        <v>20.299999999999997</v>
      </c>
      <c r="BX68" s="95">
        <f>SUM(BX60:BX67)</f>
        <v>52.2</v>
      </c>
      <c r="BY68" s="95">
        <f>SUM(BY60:BY67)</f>
        <v>30.600000000000005</v>
      </c>
      <c r="BZ68" s="95">
        <f>SUM(BZ60:BZ67)</f>
        <v>-2.6000000000000005</v>
      </c>
      <c r="CA68" s="96">
        <f>SUM(CA60:CA67)</f>
        <v>17.3</v>
      </c>
      <c r="CB68" s="95"/>
      <c r="CC68" s="95">
        <f>SUM(CC60:CC67)</f>
        <v>-5.6</v>
      </c>
      <c r="CD68" s="95">
        <f>SUM(CD60:CD67)</f>
        <v>4.3</v>
      </c>
      <c r="CE68" s="95">
        <f>SUM(CE60:CE67)</f>
        <v>-3</v>
      </c>
      <c r="CF68" s="95">
        <f>SUM(CF60:CF67)</f>
        <v>-33.199999999999996</v>
      </c>
      <c r="CG68" s="96">
        <f>SUM(CG60:CG67)</f>
        <v>-37.5</v>
      </c>
      <c r="CH68" s="95"/>
      <c r="CI68" s="95">
        <f>SUM(CI60:CI67)</f>
        <v>-22.6</v>
      </c>
      <c r="CJ68" s="95">
        <f>SUM(CJ60:CJ67)</f>
        <v>-13.3</v>
      </c>
      <c r="CK68" s="95">
        <f>SUM(CK60:CK67)</f>
        <v>-17</v>
      </c>
      <c r="CL68" s="95">
        <f>SUM(CL60:CL67)</f>
        <v>-42.400000000000006</v>
      </c>
      <c r="CM68" s="96">
        <f>SUM(CM60:CM67)</f>
        <v>-95.3</v>
      </c>
    </row>
    <row r="69" spans="1:91" s="47" customFormat="1" x14ac:dyDescent="0.2">
      <c r="C69" s="104"/>
      <c r="D69" s="104"/>
      <c r="E69" s="104"/>
      <c r="F69" s="104"/>
      <c r="G69" s="98"/>
      <c r="H69" s="104"/>
      <c r="I69" s="104"/>
      <c r="J69" s="104"/>
      <c r="K69" s="104"/>
      <c r="L69" s="104"/>
      <c r="M69" s="98"/>
      <c r="N69" s="104"/>
      <c r="O69" s="104"/>
      <c r="P69" s="104"/>
      <c r="Q69" s="104"/>
      <c r="R69" s="104"/>
      <c r="S69" s="98"/>
      <c r="T69" s="104"/>
      <c r="U69" s="104"/>
      <c r="V69" s="104"/>
      <c r="W69" s="104"/>
      <c r="X69" s="104"/>
      <c r="Y69" s="98"/>
      <c r="Z69" s="104"/>
      <c r="AA69" s="104"/>
      <c r="AB69" s="104"/>
      <c r="AC69" s="104"/>
      <c r="AD69" s="104"/>
      <c r="AE69" s="98"/>
      <c r="AF69" s="104"/>
      <c r="AG69" s="104"/>
      <c r="AH69" s="104"/>
      <c r="AI69" s="104"/>
      <c r="AJ69" s="104"/>
      <c r="AK69" s="98"/>
      <c r="AL69" s="104"/>
      <c r="AM69" s="104"/>
      <c r="AN69" s="104"/>
      <c r="AO69" s="104"/>
      <c r="AP69" s="104"/>
      <c r="AQ69" s="98"/>
      <c r="AR69" s="104"/>
      <c r="AS69" s="104"/>
      <c r="AT69" s="104"/>
      <c r="AU69" s="104"/>
      <c r="AV69" s="104"/>
      <c r="AW69" s="98"/>
      <c r="AX69" s="104"/>
      <c r="AY69" s="104"/>
      <c r="AZ69" s="104"/>
      <c r="BA69" s="104"/>
      <c r="BB69" s="104"/>
      <c r="BC69" s="98"/>
      <c r="BD69" s="104"/>
      <c r="BE69" s="104"/>
      <c r="BF69" s="104"/>
      <c r="BG69" s="104"/>
      <c r="BH69" s="104"/>
      <c r="BI69" s="98"/>
      <c r="BJ69" s="104"/>
      <c r="BK69" s="104"/>
      <c r="BL69" s="104"/>
      <c r="BM69" s="104"/>
      <c r="BN69" s="104"/>
      <c r="BO69" s="98"/>
      <c r="BP69" s="104"/>
      <c r="BQ69" s="104"/>
      <c r="BR69" s="104"/>
      <c r="BS69" s="104"/>
      <c r="BT69" s="104"/>
      <c r="BU69" s="98"/>
      <c r="BV69" s="104"/>
      <c r="BW69" s="104"/>
      <c r="BX69" s="104"/>
      <c r="BY69" s="104"/>
      <c r="BZ69" s="104"/>
      <c r="CA69" s="98"/>
      <c r="CB69" s="104"/>
      <c r="CC69" s="104"/>
      <c r="CD69" s="104"/>
      <c r="CE69" s="104"/>
      <c r="CF69" s="104"/>
      <c r="CG69" s="98"/>
      <c r="CH69" s="104"/>
      <c r="CI69" s="104"/>
      <c r="CJ69" s="104"/>
      <c r="CK69" s="104"/>
      <c r="CL69" s="104"/>
      <c r="CM69" s="98"/>
    </row>
    <row r="70" spans="1:91" x14ac:dyDescent="0.2">
      <c r="A70" s="1" t="s">
        <v>29</v>
      </c>
      <c r="C70" s="24"/>
      <c r="D70" s="24"/>
      <c r="E70" s="24"/>
      <c r="F70" s="24"/>
      <c r="G70" s="60"/>
      <c r="H70" s="24"/>
      <c r="I70" s="24"/>
      <c r="J70" s="61"/>
      <c r="K70" s="61"/>
      <c r="L70" s="24"/>
      <c r="M70" s="69"/>
      <c r="N70" s="24"/>
      <c r="O70" s="24"/>
      <c r="P70" s="61"/>
      <c r="Q70" s="61"/>
      <c r="R70" s="24"/>
      <c r="S70" s="69"/>
      <c r="T70" s="24"/>
      <c r="U70" s="24"/>
      <c r="V70" s="61"/>
      <c r="W70" s="61"/>
      <c r="X70" s="24"/>
      <c r="Y70" s="69"/>
      <c r="Z70" s="24"/>
      <c r="AA70" s="24"/>
      <c r="AB70" s="61"/>
      <c r="AC70" s="61"/>
      <c r="AD70" s="24"/>
      <c r="AE70" s="69"/>
      <c r="AF70" s="24"/>
      <c r="AG70" s="24"/>
      <c r="AH70" s="61"/>
      <c r="AI70" s="61"/>
      <c r="AJ70" s="24"/>
      <c r="AK70" s="69"/>
      <c r="AL70" s="24"/>
      <c r="AM70" s="24"/>
      <c r="AN70" s="61"/>
      <c r="AO70" s="61"/>
      <c r="AP70" s="24"/>
      <c r="AQ70" s="69"/>
      <c r="AR70" s="24"/>
      <c r="AS70" s="24"/>
      <c r="AT70" s="61"/>
      <c r="AU70" s="61"/>
      <c r="AV70" s="24"/>
      <c r="AW70" s="69"/>
      <c r="AX70" s="24"/>
      <c r="AY70" s="24"/>
      <c r="AZ70" s="61"/>
      <c r="BA70" s="61"/>
      <c r="BB70" s="24"/>
      <c r="BC70" s="69"/>
      <c r="BD70" s="24"/>
      <c r="BE70" s="24"/>
      <c r="BF70" s="61"/>
      <c r="BG70" s="61"/>
      <c r="BH70" s="24"/>
      <c r="BI70" s="69"/>
      <c r="BJ70" s="24"/>
      <c r="BK70" s="24"/>
      <c r="BL70" s="61"/>
      <c r="BM70" s="61"/>
      <c r="BN70" s="24"/>
      <c r="BO70" s="69"/>
      <c r="BP70" s="24"/>
      <c r="BQ70" s="24"/>
      <c r="BR70" s="61"/>
      <c r="BS70" s="61"/>
      <c r="BT70" s="24"/>
      <c r="BU70" s="69"/>
      <c r="BV70" s="24"/>
      <c r="BW70" s="24"/>
      <c r="BX70" s="61"/>
      <c r="BY70" s="61"/>
      <c r="BZ70" s="24"/>
      <c r="CA70" s="69"/>
      <c r="CB70" s="24"/>
      <c r="CC70" s="24"/>
      <c r="CD70" s="61"/>
      <c r="CE70" s="61"/>
      <c r="CF70" s="24"/>
      <c r="CG70" s="69"/>
      <c r="CH70" s="24"/>
      <c r="CI70" s="24"/>
      <c r="CJ70" s="61"/>
      <c r="CK70" s="61"/>
      <c r="CL70" s="24"/>
      <c r="CM70" s="69"/>
    </row>
    <row r="71" spans="1:91" s="47" customFormat="1" x14ac:dyDescent="0.2">
      <c r="A71" s="47" t="s">
        <v>141</v>
      </c>
      <c r="C71" s="104">
        <v>96.510067114093957</v>
      </c>
      <c r="D71" s="104">
        <v>102.14765100671141</v>
      </c>
      <c r="E71" s="104">
        <v>118.92617449664429</v>
      </c>
      <c r="F71" s="104">
        <v>121.61073825503355</v>
      </c>
      <c r="G71" s="98"/>
      <c r="H71" s="104"/>
      <c r="I71" s="104">
        <v>157.85234899328859</v>
      </c>
      <c r="J71" s="104">
        <v>158.25503355704697</v>
      </c>
      <c r="K71" s="104">
        <v>173.15436241610738</v>
      </c>
      <c r="L71" s="104">
        <v>166.84563758389262</v>
      </c>
      <c r="M71" s="105"/>
      <c r="N71" s="104"/>
      <c r="O71" s="104">
        <v>305.7718120805369</v>
      </c>
      <c r="P71" s="104">
        <v>332.88590604026842</v>
      </c>
      <c r="Q71" s="104">
        <v>328.85906040268458</v>
      </c>
      <c r="R71" s="104">
        <v>297.98657718120802</v>
      </c>
      <c r="S71" s="105"/>
      <c r="T71" s="104"/>
      <c r="U71" s="104">
        <v>351.14093959731542</v>
      </c>
      <c r="V71" s="104">
        <v>398.25503355704694</v>
      </c>
      <c r="W71" s="104">
        <v>416.10738255033556</v>
      </c>
      <c r="X71" s="104">
        <v>327.78523489932883</v>
      </c>
      <c r="Y71" s="105"/>
      <c r="Z71" s="104"/>
      <c r="AA71" s="104">
        <v>327.26174496644296</v>
      </c>
      <c r="AB71" s="106">
        <v>392.75167785234896</v>
      </c>
      <c r="AC71" s="104">
        <v>424.56375838926175</v>
      </c>
      <c r="AD71" s="104">
        <v>444.69798657718121</v>
      </c>
      <c r="AE71" s="105"/>
      <c r="AF71" s="104"/>
      <c r="AG71" s="104">
        <v>515.70469798657712</v>
      </c>
      <c r="AH71" s="106">
        <v>580</v>
      </c>
      <c r="AI71" s="104">
        <v>633.02013422818789</v>
      </c>
      <c r="AJ71" s="104">
        <v>631.00671140939596</v>
      </c>
      <c r="AK71" s="105"/>
      <c r="AL71" s="104"/>
      <c r="AM71" s="104">
        <v>696.77852348993292</v>
      </c>
      <c r="AN71" s="106">
        <v>701.07382550335569</v>
      </c>
      <c r="AO71" s="104">
        <v>645.50335570469792</v>
      </c>
      <c r="AP71" s="104">
        <v>600</v>
      </c>
      <c r="AQ71" s="105"/>
      <c r="AR71" s="104"/>
      <c r="AS71" s="104">
        <v>610.73825503355704</v>
      </c>
      <c r="AT71" s="106">
        <v>628.85906040268458</v>
      </c>
      <c r="AU71" s="104">
        <v>661.87919463087246</v>
      </c>
      <c r="AV71" s="104">
        <v>583.35570469798654</v>
      </c>
      <c r="AW71" s="105"/>
      <c r="AX71" s="104"/>
      <c r="AY71" s="104">
        <v>643.62416107382546</v>
      </c>
      <c r="AZ71" s="106">
        <v>646.97986577181211</v>
      </c>
      <c r="BA71" s="104">
        <v>657.85234899328862</v>
      </c>
      <c r="BB71" s="104">
        <v>611.67785234899327</v>
      </c>
      <c r="BC71" s="105"/>
      <c r="BD71" s="104"/>
      <c r="BE71" s="104">
        <v>565.77181208053685</v>
      </c>
      <c r="BF71" s="106">
        <v>566.84563758389265</v>
      </c>
      <c r="BG71" s="104">
        <v>596.91275167785238</v>
      </c>
      <c r="BH71" s="104">
        <v>491.40939597315435</v>
      </c>
      <c r="BI71" s="105"/>
      <c r="BJ71" s="104"/>
      <c r="BK71" s="104">
        <v>505.23489932885906</v>
      </c>
      <c r="BL71" s="106">
        <v>463.48993288590606</v>
      </c>
      <c r="BM71" s="104">
        <v>437.58389261744964</v>
      </c>
      <c r="BN71" s="104">
        <v>381.3</v>
      </c>
      <c r="BO71" s="105"/>
      <c r="BP71" s="104"/>
      <c r="BQ71" s="104">
        <v>393.7</v>
      </c>
      <c r="BR71" s="106">
        <v>404.1</v>
      </c>
      <c r="BS71" s="104">
        <v>374.4</v>
      </c>
      <c r="BT71" s="104">
        <v>348.4</v>
      </c>
      <c r="BU71" s="105"/>
      <c r="BV71" s="104"/>
      <c r="BW71" s="104">
        <v>1006.7</v>
      </c>
      <c r="BX71" s="106">
        <v>1139.0999999999999</v>
      </c>
      <c r="BY71" s="104">
        <v>1120.7</v>
      </c>
      <c r="BZ71" s="104">
        <f>1043.9+0.9-4.3</f>
        <v>1040.5000000000002</v>
      </c>
      <c r="CA71" s="105"/>
      <c r="CB71" s="104"/>
      <c r="CC71" s="104">
        <v>1140.5</v>
      </c>
      <c r="CD71" s="106">
        <v>1104.3</v>
      </c>
      <c r="CE71" s="104">
        <v>1158.3</v>
      </c>
      <c r="CF71" s="104">
        <v>1065.3</v>
      </c>
      <c r="CG71" s="105"/>
      <c r="CH71" s="104"/>
      <c r="CI71" s="104">
        <v>1113.5</v>
      </c>
      <c r="CJ71" s="106">
        <v>1083.5</v>
      </c>
      <c r="CK71" s="104">
        <v>1054.5</v>
      </c>
      <c r="CL71" s="104">
        <v>941.6</v>
      </c>
      <c r="CM71" s="105"/>
    </row>
    <row r="72" spans="1:91" x14ac:dyDescent="0.2">
      <c r="A72" s="2" t="s">
        <v>84</v>
      </c>
      <c r="C72" s="24">
        <v>287.11409395973152</v>
      </c>
      <c r="D72" s="24">
        <v>306.71140939597313</v>
      </c>
      <c r="E72" s="24">
        <v>313.28859060402687</v>
      </c>
      <c r="F72" s="24">
        <v>324.0268456375839</v>
      </c>
      <c r="G72" s="60"/>
      <c r="H72" s="24"/>
      <c r="I72" s="24">
        <v>344.69798657718121</v>
      </c>
      <c r="J72" s="24">
        <v>323.08724832214762</v>
      </c>
      <c r="K72" s="24">
        <v>310.60402684563758</v>
      </c>
      <c r="L72" s="24">
        <v>314.36241610738256</v>
      </c>
      <c r="M72" s="69"/>
      <c r="N72" s="24"/>
      <c r="O72" s="24">
        <v>322.14765100671138</v>
      </c>
      <c r="P72" s="24">
        <v>329.79865771812081</v>
      </c>
      <c r="Q72" s="24">
        <v>342.68456375838923</v>
      </c>
      <c r="R72" s="24">
        <v>337.04697986577179</v>
      </c>
      <c r="S72" s="69"/>
      <c r="T72" s="24"/>
      <c r="U72" s="24">
        <v>358.52348993288592</v>
      </c>
      <c r="V72" s="24">
        <v>382.55033557046977</v>
      </c>
      <c r="W72" s="24">
        <v>390.06711409395973</v>
      </c>
      <c r="X72" s="24">
        <v>379.73154362416108</v>
      </c>
      <c r="Y72" s="69"/>
      <c r="Z72" s="24"/>
      <c r="AA72" s="24">
        <v>381.47651006711408</v>
      </c>
      <c r="AB72" s="94">
        <v>358.52348993288592</v>
      </c>
      <c r="AC72" s="24">
        <v>339.32885906040269</v>
      </c>
      <c r="AD72" s="24">
        <v>346.30872483221475</v>
      </c>
      <c r="AE72" s="69"/>
      <c r="AF72" s="24"/>
      <c r="AG72" s="24">
        <v>376.51006711409394</v>
      </c>
      <c r="AH72" s="94">
        <v>399.73154362416108</v>
      </c>
      <c r="AI72" s="24">
        <v>383.75838926174498</v>
      </c>
      <c r="AJ72" s="24">
        <v>388.99328859060404</v>
      </c>
      <c r="AK72" s="69"/>
      <c r="AL72" s="24"/>
      <c r="AM72" s="24">
        <v>400.67114093959731</v>
      </c>
      <c r="AN72" s="94">
        <v>403.75838926174498</v>
      </c>
      <c r="AO72" s="24">
        <v>427.78523489932883</v>
      </c>
      <c r="AP72" s="24">
        <v>433.82550335570471</v>
      </c>
      <c r="AQ72" s="69"/>
      <c r="AR72" s="24"/>
      <c r="AS72" s="24">
        <v>444.83221476510067</v>
      </c>
      <c r="AT72" s="94">
        <v>448.99328859060404</v>
      </c>
      <c r="AU72" s="24">
        <v>438.12080536912748</v>
      </c>
      <c r="AV72" s="24">
        <v>412.48322147651004</v>
      </c>
      <c r="AW72" s="69"/>
      <c r="AX72" s="24"/>
      <c r="AY72" s="24">
        <v>452.88590604026842</v>
      </c>
      <c r="AZ72" s="94">
        <v>456.24161073825502</v>
      </c>
      <c r="BA72" s="24">
        <v>432.48322147651004</v>
      </c>
      <c r="BB72" s="24">
        <v>412.6174496644295</v>
      </c>
      <c r="BC72" s="69"/>
      <c r="BD72" s="24"/>
      <c r="BE72" s="24">
        <v>436.37583892617448</v>
      </c>
      <c r="BF72" s="94">
        <v>446.30872483221475</v>
      </c>
      <c r="BG72" s="24">
        <v>461.61073825503354</v>
      </c>
      <c r="BH72" s="24">
        <v>440.67114093959731</v>
      </c>
      <c r="BI72" s="69"/>
      <c r="BJ72" s="24"/>
      <c r="BK72" s="24">
        <v>500.80536912751677</v>
      </c>
      <c r="BL72" s="94">
        <v>515.16778523489927</v>
      </c>
      <c r="BM72" s="24">
        <v>513.69127516778519</v>
      </c>
      <c r="BN72" s="24">
        <v>501.6</v>
      </c>
      <c r="BO72" s="69"/>
      <c r="BP72" s="24"/>
      <c r="BQ72" s="24">
        <v>541.6</v>
      </c>
      <c r="BR72" s="94">
        <v>545.4</v>
      </c>
      <c r="BS72" s="24">
        <v>520.1</v>
      </c>
      <c r="BT72" s="24">
        <v>490.7</v>
      </c>
      <c r="BU72" s="69"/>
      <c r="BV72" s="24"/>
      <c r="BW72" s="24">
        <v>535.29999999999995</v>
      </c>
      <c r="BX72" s="94">
        <v>535.6</v>
      </c>
      <c r="BY72" s="24">
        <v>530.1</v>
      </c>
      <c r="BZ72" s="24"/>
      <c r="CA72" s="69"/>
      <c r="CB72" s="24"/>
      <c r="CC72" s="24"/>
      <c r="CD72" s="94"/>
      <c r="CE72" s="24"/>
      <c r="CF72" s="24"/>
      <c r="CG72" s="69"/>
      <c r="CH72" s="24"/>
      <c r="CI72" s="24"/>
      <c r="CJ72" s="94"/>
      <c r="CK72" s="24"/>
      <c r="CL72" s="24"/>
      <c r="CM72" s="69"/>
    </row>
    <row r="73" spans="1:91" hidden="1" x14ac:dyDescent="0.2">
      <c r="A73" s="23" t="s">
        <v>26</v>
      </c>
      <c r="C73" s="24">
        <v>-1.2080536912751678</v>
      </c>
      <c r="D73" s="24">
        <v>-1.8791946308724832</v>
      </c>
      <c r="E73" s="24">
        <v>-1.8791946308724832</v>
      </c>
      <c r="F73" s="24">
        <v>-1.0738255033557047</v>
      </c>
      <c r="G73" s="60"/>
      <c r="H73" s="24"/>
      <c r="I73" s="24">
        <v>0</v>
      </c>
      <c r="J73" s="24">
        <v>0</v>
      </c>
      <c r="K73" s="24">
        <v>0</v>
      </c>
      <c r="L73" s="24">
        <v>0</v>
      </c>
      <c r="M73" s="69"/>
      <c r="N73" s="24"/>
      <c r="O73" s="24">
        <v>0</v>
      </c>
      <c r="P73" s="24">
        <v>0</v>
      </c>
      <c r="Q73" s="24">
        <v>0</v>
      </c>
      <c r="R73" s="24">
        <v>0</v>
      </c>
      <c r="S73" s="69"/>
      <c r="T73" s="24"/>
      <c r="U73" s="24">
        <v>0</v>
      </c>
      <c r="V73" s="24">
        <v>0</v>
      </c>
      <c r="W73" s="24">
        <v>0</v>
      </c>
      <c r="X73" s="24">
        <v>0</v>
      </c>
      <c r="Y73" s="69"/>
      <c r="Z73" s="24"/>
      <c r="AA73" s="24">
        <v>0</v>
      </c>
      <c r="AB73" s="94">
        <v>0</v>
      </c>
      <c r="AC73" s="24">
        <v>0</v>
      </c>
      <c r="AD73" s="24">
        <v>0</v>
      </c>
      <c r="AE73" s="69"/>
      <c r="AF73" s="24"/>
      <c r="AG73" s="24">
        <v>0</v>
      </c>
      <c r="AH73" s="94">
        <v>0</v>
      </c>
      <c r="AI73" s="24">
        <v>0</v>
      </c>
      <c r="AJ73" s="24">
        <v>0</v>
      </c>
      <c r="AK73" s="69"/>
      <c r="AL73" s="24"/>
      <c r="AM73" s="24">
        <v>0</v>
      </c>
      <c r="AN73" s="94">
        <v>0</v>
      </c>
      <c r="AO73" s="24">
        <v>0</v>
      </c>
      <c r="AP73" s="24">
        <v>0</v>
      </c>
      <c r="AQ73" s="69"/>
      <c r="AR73" s="24"/>
      <c r="AS73" s="24">
        <v>0</v>
      </c>
      <c r="AT73" s="94">
        <v>0</v>
      </c>
      <c r="AU73" s="24">
        <v>0</v>
      </c>
      <c r="AV73" s="24">
        <v>0</v>
      </c>
      <c r="AW73" s="69"/>
      <c r="AX73" s="24"/>
      <c r="AY73" s="24"/>
      <c r="AZ73" s="94"/>
      <c r="BA73" s="24"/>
      <c r="BB73" s="24"/>
      <c r="BC73" s="69"/>
      <c r="BD73" s="24"/>
      <c r="BE73" s="24"/>
      <c r="BF73" s="94"/>
      <c r="BG73" s="24"/>
      <c r="BH73" s="24"/>
      <c r="BI73" s="69"/>
      <c r="BJ73" s="24"/>
      <c r="BK73" s="24"/>
      <c r="BL73" s="94"/>
      <c r="BM73" s="24"/>
      <c r="BN73" s="24"/>
      <c r="BO73" s="69"/>
      <c r="BP73" s="24"/>
      <c r="BQ73" s="24"/>
      <c r="BR73" s="94"/>
      <c r="BS73" s="24"/>
      <c r="BT73" s="24"/>
      <c r="BU73" s="69"/>
      <c r="BV73" s="24"/>
      <c r="BW73" s="24"/>
      <c r="BX73" s="94"/>
      <c r="BY73" s="24"/>
      <c r="BZ73" s="24"/>
      <c r="CA73" s="69"/>
      <c r="CB73" s="24"/>
      <c r="CC73" s="24"/>
      <c r="CD73" s="94"/>
      <c r="CE73" s="24"/>
      <c r="CF73" s="24"/>
      <c r="CG73" s="69"/>
      <c r="CH73" s="24"/>
      <c r="CI73" s="24"/>
      <c r="CJ73" s="94"/>
      <c r="CK73" s="24"/>
      <c r="CL73" s="24"/>
      <c r="CM73" s="69"/>
    </row>
    <row r="74" spans="1:91" x14ac:dyDescent="0.2">
      <c r="A74" s="2" t="s">
        <v>75</v>
      </c>
      <c r="C74" s="24">
        <v>8.0536912751677843</v>
      </c>
      <c r="D74" s="24">
        <v>8.0536912751677843</v>
      </c>
      <c r="E74" s="24">
        <v>8.1879194630872476</v>
      </c>
      <c r="F74" s="24">
        <v>11.006711409395972</v>
      </c>
      <c r="G74" s="60"/>
      <c r="H74" s="24"/>
      <c r="I74" s="24">
        <v>11.677852348993289</v>
      </c>
      <c r="J74" s="24">
        <v>13.154362416107382</v>
      </c>
      <c r="K74" s="24">
        <v>14.630872483221475</v>
      </c>
      <c r="L74" s="24">
        <v>15.973154362416107</v>
      </c>
      <c r="M74" s="60"/>
      <c r="N74" s="24"/>
      <c r="O74" s="24">
        <v>12.885906040268456</v>
      </c>
      <c r="P74" s="24">
        <v>16.51006711409396</v>
      </c>
      <c r="Q74" s="24">
        <v>18.523489932885905</v>
      </c>
      <c r="R74" s="24">
        <v>22.68456375838926</v>
      </c>
      <c r="S74" s="60"/>
      <c r="T74" s="24"/>
      <c r="U74" s="24">
        <v>24.026845637583893</v>
      </c>
      <c r="V74" s="24">
        <v>33.154362416107382</v>
      </c>
      <c r="W74" s="24">
        <v>40.536912751677853</v>
      </c>
      <c r="X74" s="24">
        <v>40.939597315436238</v>
      </c>
      <c r="Y74" s="60"/>
      <c r="Z74" s="24"/>
      <c r="AA74" s="24">
        <v>44.563758389261743</v>
      </c>
      <c r="AB74" s="24">
        <v>49.261744966442954</v>
      </c>
      <c r="AC74" s="24">
        <v>57.583892617449663</v>
      </c>
      <c r="AD74" s="24">
        <v>59.194630872483224</v>
      </c>
      <c r="AE74" s="60"/>
      <c r="AF74" s="24"/>
      <c r="AG74" s="24">
        <v>60.805369127516776</v>
      </c>
      <c r="AH74" s="24">
        <v>52.483221476510067</v>
      </c>
      <c r="AI74" s="24">
        <v>56.375838926174495</v>
      </c>
      <c r="AJ74" s="24">
        <v>59.328859060402685</v>
      </c>
      <c r="AK74" s="60"/>
      <c r="AL74" s="24"/>
      <c r="AM74" s="24">
        <v>62.550335570469798</v>
      </c>
      <c r="AN74" s="24">
        <v>64.56375838926175</v>
      </c>
      <c r="AO74" s="24">
        <v>75.43624161073825</v>
      </c>
      <c r="AP74" s="24">
        <v>77.449664429530202</v>
      </c>
      <c r="AQ74" s="60"/>
      <c r="AR74" s="24"/>
      <c r="AS74" s="24">
        <v>77.449664429530202</v>
      </c>
      <c r="AT74" s="24">
        <v>0</v>
      </c>
      <c r="AU74" s="24">
        <v>0</v>
      </c>
      <c r="AV74" s="24">
        <v>0</v>
      </c>
      <c r="AW74" s="60"/>
      <c r="AX74" s="24"/>
      <c r="AY74" s="24"/>
      <c r="AZ74" s="24"/>
      <c r="BA74" s="24"/>
      <c r="BB74" s="24"/>
      <c r="BC74" s="60"/>
      <c r="BD74" s="24"/>
      <c r="BE74" s="24"/>
      <c r="BF74" s="24"/>
      <c r="BG74" s="24"/>
      <c r="BH74" s="24"/>
      <c r="BI74" s="60"/>
      <c r="BJ74" s="24"/>
      <c r="BK74" s="24"/>
      <c r="BL74" s="24"/>
      <c r="BM74" s="24"/>
      <c r="BN74" s="24"/>
      <c r="BO74" s="60"/>
      <c r="BP74" s="24"/>
      <c r="BQ74" s="24"/>
      <c r="BR74" s="24"/>
      <c r="BS74" s="24"/>
      <c r="BT74" s="24"/>
      <c r="BU74" s="60"/>
      <c r="BV74" s="24"/>
      <c r="BW74" s="24"/>
      <c r="BX74" s="24"/>
      <c r="BY74" s="24"/>
      <c r="BZ74" s="24"/>
      <c r="CA74" s="60"/>
      <c r="CB74" s="24"/>
      <c r="CC74" s="24"/>
      <c r="CD74" s="24"/>
      <c r="CE74" s="24"/>
      <c r="CF74" s="24"/>
      <c r="CG74" s="60"/>
      <c r="CH74" s="24"/>
      <c r="CI74" s="24"/>
      <c r="CJ74" s="24"/>
      <c r="CK74" s="24"/>
      <c r="CL74" s="24"/>
      <c r="CM74" s="60"/>
    </row>
    <row r="75" spans="1:91" x14ac:dyDescent="0.2">
      <c r="A75" s="2" t="s">
        <v>140</v>
      </c>
      <c r="C75" s="24">
        <v>9.9328859060402674</v>
      </c>
      <c r="D75" s="24">
        <v>9.9328859060402674</v>
      </c>
      <c r="E75" s="24">
        <v>10.067114093959731</v>
      </c>
      <c r="F75" s="24">
        <v>13.020134228187919</v>
      </c>
      <c r="G75" s="60"/>
      <c r="H75" s="24"/>
      <c r="I75" s="24">
        <v>13.95973154362416</v>
      </c>
      <c r="J75" s="24">
        <v>13.154362416107382</v>
      </c>
      <c r="K75" s="24">
        <v>14.899328859060402</v>
      </c>
      <c r="L75" s="24">
        <v>13.422818791946309</v>
      </c>
      <c r="M75" s="60"/>
      <c r="N75" s="24"/>
      <c r="O75" s="24">
        <v>13.422818791946309</v>
      </c>
      <c r="P75" s="24">
        <v>13.557046979865772</v>
      </c>
      <c r="Q75" s="24">
        <v>14.496644295302014</v>
      </c>
      <c r="R75" s="24">
        <v>12.885906040268456</v>
      </c>
      <c r="S75" s="60"/>
      <c r="T75" s="24"/>
      <c r="U75" s="24">
        <v>17.04697986577181</v>
      </c>
      <c r="V75" s="24">
        <v>18.255033557046978</v>
      </c>
      <c r="W75" s="24">
        <v>17.718120805369129</v>
      </c>
      <c r="X75" s="24">
        <v>16.107382550335569</v>
      </c>
      <c r="Y75" s="60"/>
      <c r="Z75" s="24"/>
      <c r="AA75" s="24">
        <v>16.322147651006709</v>
      </c>
      <c r="AB75" s="94">
        <v>17.718120805369129</v>
      </c>
      <c r="AC75" s="24">
        <v>16.644295302013422</v>
      </c>
      <c r="AD75" s="24">
        <v>16.375838926174495</v>
      </c>
      <c r="AE75" s="60"/>
      <c r="AF75" s="24"/>
      <c r="AG75" s="24">
        <v>19.597315436241612</v>
      </c>
      <c r="AH75" s="94">
        <v>22.14765100671141</v>
      </c>
      <c r="AI75" s="24">
        <v>21.879194630872483</v>
      </c>
      <c r="AJ75" s="24">
        <v>23.087248322147651</v>
      </c>
      <c r="AK75" s="60"/>
      <c r="AL75" s="24"/>
      <c r="AM75" s="24">
        <v>22.953020134228186</v>
      </c>
      <c r="AN75" s="94">
        <v>24.832214765100669</v>
      </c>
      <c r="AO75" s="24">
        <v>24.697986577181208</v>
      </c>
      <c r="AP75" s="24">
        <v>24.563758389261743</v>
      </c>
      <c r="AQ75" s="60"/>
      <c r="AR75" s="24"/>
      <c r="AS75" s="24">
        <v>24.832214765100669</v>
      </c>
      <c r="AT75" s="94">
        <v>25.369127516778523</v>
      </c>
      <c r="AU75" s="24">
        <v>25.771812080536911</v>
      </c>
      <c r="AV75" s="24">
        <v>28.187919463087248</v>
      </c>
      <c r="AW75" s="60"/>
      <c r="AX75" s="24"/>
      <c r="AY75" s="24">
        <v>27.382550335570468</v>
      </c>
      <c r="AZ75" s="94">
        <v>30.067114093959731</v>
      </c>
      <c r="BA75" s="24">
        <v>28.322147651006709</v>
      </c>
      <c r="BB75" s="24">
        <v>26.845637583892618</v>
      </c>
      <c r="BC75" s="60"/>
      <c r="BD75" s="24"/>
      <c r="BE75" s="24">
        <v>27.114093959731544</v>
      </c>
      <c r="BF75" s="94">
        <v>27.248322147651006</v>
      </c>
      <c r="BG75" s="24">
        <v>27.919463087248321</v>
      </c>
      <c r="BH75" s="24">
        <v>26.979865771812079</v>
      </c>
      <c r="BI75" s="60"/>
      <c r="BJ75" s="24"/>
      <c r="BK75" s="24">
        <v>25.771812080536911</v>
      </c>
      <c r="BL75" s="94">
        <v>22.281879194630871</v>
      </c>
      <c r="BM75" s="24">
        <v>20.939597315436242</v>
      </c>
      <c r="BN75" s="24">
        <v>19.2</v>
      </c>
      <c r="BO75" s="60"/>
      <c r="BP75" s="24"/>
      <c r="BQ75" s="24">
        <v>43</v>
      </c>
      <c r="BR75" s="94">
        <v>44.6</v>
      </c>
      <c r="BS75" s="24">
        <v>45</v>
      </c>
      <c r="BT75" s="24">
        <v>49.3</v>
      </c>
      <c r="BU75" s="60"/>
      <c r="BV75" s="24"/>
      <c r="BW75" s="24">
        <v>46.3</v>
      </c>
      <c r="BX75" s="94">
        <v>49.8</v>
      </c>
      <c r="BY75" s="24">
        <v>62.6</v>
      </c>
      <c r="BZ75" s="24">
        <v>69</v>
      </c>
      <c r="CA75" s="60"/>
      <c r="CB75" s="24"/>
      <c r="CC75" s="24">
        <v>67.099999999999994</v>
      </c>
      <c r="CD75" s="94">
        <v>72.400000000000006</v>
      </c>
      <c r="CE75" s="24">
        <v>73.7</v>
      </c>
      <c r="CF75" s="24">
        <v>78.599999999999994</v>
      </c>
      <c r="CG75" s="60"/>
      <c r="CH75" s="24"/>
      <c r="CI75" s="24">
        <v>93.7</v>
      </c>
      <c r="CJ75" s="94">
        <v>96.7</v>
      </c>
      <c r="CK75" s="24">
        <v>101.7</v>
      </c>
      <c r="CL75" s="24">
        <v>104.4</v>
      </c>
      <c r="CM75" s="60"/>
    </row>
    <row r="76" spans="1:91" hidden="1" x14ac:dyDescent="0.2">
      <c r="A76" s="2" t="s">
        <v>30</v>
      </c>
      <c r="C76" s="24">
        <v>0</v>
      </c>
      <c r="D76" s="24">
        <v>0</v>
      </c>
      <c r="E76" s="24">
        <v>0</v>
      </c>
      <c r="F76" s="24">
        <v>0</v>
      </c>
      <c r="G76" s="60"/>
      <c r="H76" s="24"/>
      <c r="I76" s="24">
        <v>0</v>
      </c>
      <c r="J76" s="24">
        <v>0</v>
      </c>
      <c r="K76" s="24">
        <v>0</v>
      </c>
      <c r="L76" s="24">
        <v>0</v>
      </c>
      <c r="M76" s="60"/>
      <c r="N76" s="24"/>
      <c r="O76" s="24">
        <v>0</v>
      </c>
      <c r="P76" s="24">
        <v>0</v>
      </c>
      <c r="Q76" s="24">
        <v>0</v>
      </c>
      <c r="R76" s="24">
        <v>0</v>
      </c>
      <c r="S76" s="60"/>
      <c r="T76" s="24"/>
      <c r="U76" s="24">
        <v>0</v>
      </c>
      <c r="V76" s="24">
        <v>0</v>
      </c>
      <c r="W76" s="24">
        <v>0</v>
      </c>
      <c r="X76" s="24">
        <v>0</v>
      </c>
      <c r="Y76" s="60"/>
      <c r="Z76" s="24"/>
      <c r="AA76" s="24">
        <v>0</v>
      </c>
      <c r="AB76" s="94">
        <v>0</v>
      </c>
      <c r="AC76" s="24">
        <v>0</v>
      </c>
      <c r="AD76" s="24">
        <v>0</v>
      </c>
      <c r="AE76" s="60"/>
      <c r="AF76" s="24"/>
      <c r="AG76" s="24">
        <v>0</v>
      </c>
      <c r="AH76" s="94">
        <v>0</v>
      </c>
      <c r="AI76" s="24">
        <v>0</v>
      </c>
      <c r="AJ76" s="24">
        <v>0</v>
      </c>
      <c r="AK76" s="60"/>
      <c r="AL76" s="24"/>
      <c r="AM76" s="24">
        <v>0</v>
      </c>
      <c r="AN76" s="94">
        <v>0</v>
      </c>
      <c r="AO76" s="24">
        <v>0</v>
      </c>
      <c r="AP76" s="24">
        <v>0</v>
      </c>
      <c r="AQ76" s="60"/>
      <c r="AR76" s="24"/>
      <c r="AS76" s="24">
        <v>0</v>
      </c>
      <c r="AT76" s="94">
        <v>0</v>
      </c>
      <c r="AU76" s="24">
        <v>0</v>
      </c>
      <c r="AV76" s="24">
        <v>0</v>
      </c>
      <c r="AW76" s="60"/>
      <c r="AX76" s="24"/>
      <c r="AY76" s="24">
        <v>0</v>
      </c>
      <c r="AZ76" s="94">
        <v>0</v>
      </c>
      <c r="BA76" s="24">
        <v>0</v>
      </c>
      <c r="BB76" s="24">
        <v>0</v>
      </c>
      <c r="BC76" s="60"/>
      <c r="BD76" s="24"/>
      <c r="BE76" s="24">
        <v>0</v>
      </c>
      <c r="BF76" s="94">
        <v>0</v>
      </c>
      <c r="BG76" s="24">
        <v>0</v>
      </c>
      <c r="BH76" s="24">
        <v>0</v>
      </c>
      <c r="BI76" s="60"/>
      <c r="BJ76" s="24"/>
      <c r="BK76" s="24">
        <v>0</v>
      </c>
      <c r="BL76" s="94">
        <v>0</v>
      </c>
      <c r="BM76" s="24">
        <v>0</v>
      </c>
      <c r="BN76" s="24"/>
      <c r="BO76" s="60"/>
      <c r="BP76" s="24"/>
      <c r="BQ76" s="24">
        <v>0</v>
      </c>
      <c r="BR76" s="94"/>
      <c r="BS76" s="24"/>
      <c r="BT76" s="24"/>
      <c r="BU76" s="60"/>
      <c r="BV76" s="24"/>
      <c r="BW76" s="24">
        <v>0</v>
      </c>
      <c r="BX76" s="94"/>
      <c r="BY76" s="24"/>
      <c r="BZ76" s="24"/>
      <c r="CA76" s="60"/>
      <c r="CB76" s="24"/>
      <c r="CC76" s="24">
        <v>0</v>
      </c>
      <c r="CD76" s="94"/>
      <c r="CE76" s="24"/>
      <c r="CF76" s="24"/>
      <c r="CG76" s="60"/>
      <c r="CH76" s="24"/>
      <c r="CI76" s="24">
        <v>0</v>
      </c>
      <c r="CJ76" s="94"/>
      <c r="CK76" s="24"/>
      <c r="CL76" s="24"/>
      <c r="CM76" s="60"/>
    </row>
    <row r="77" spans="1:91" x14ac:dyDescent="0.2">
      <c r="A77" s="2" t="s">
        <v>50</v>
      </c>
      <c r="C77" s="24">
        <v>21.34228187919463</v>
      </c>
      <c r="D77" s="24">
        <v>21.476510067114095</v>
      </c>
      <c r="E77" s="24">
        <v>21.073825503355703</v>
      </c>
      <c r="F77" s="24">
        <v>1.0738255033557047</v>
      </c>
      <c r="G77" s="60"/>
      <c r="H77" s="24"/>
      <c r="I77" s="24">
        <v>2.1476510067114094</v>
      </c>
      <c r="J77" s="24">
        <v>4.8322147651006713</v>
      </c>
      <c r="K77" s="24">
        <v>2.8187919463087248</v>
      </c>
      <c r="L77" s="24">
        <v>3.3557046979865772</v>
      </c>
      <c r="M77" s="60"/>
      <c r="N77" s="24"/>
      <c r="O77" s="24">
        <v>2.6845637583892619</v>
      </c>
      <c r="P77" s="24">
        <v>4.0268456375838921</v>
      </c>
      <c r="Q77" s="24">
        <v>6.174496644295302</v>
      </c>
      <c r="R77" s="24">
        <v>1.2080536912751678</v>
      </c>
      <c r="S77" s="60"/>
      <c r="T77" s="24"/>
      <c r="U77" s="24">
        <v>-0.26845637583892618</v>
      </c>
      <c r="V77" s="24">
        <v>2.9530201342281877</v>
      </c>
      <c r="W77" s="24">
        <v>3.3557046979865772</v>
      </c>
      <c r="X77" s="24">
        <v>3.8926174496644292</v>
      </c>
      <c r="Y77" s="60"/>
      <c r="Z77" s="24"/>
      <c r="AA77" s="24">
        <v>4.2953020134228188</v>
      </c>
      <c r="AB77" s="94">
        <v>4.4295302013422821</v>
      </c>
      <c r="AC77" s="24">
        <v>2.1476510067114094</v>
      </c>
      <c r="AD77" s="24">
        <v>1.2080536912751678</v>
      </c>
      <c r="AE77" s="60"/>
      <c r="AF77" s="24"/>
      <c r="AG77" s="24">
        <v>-2.6845637583892619</v>
      </c>
      <c r="AH77" s="94">
        <v>-1.6107382550335569</v>
      </c>
      <c r="AI77" s="24">
        <v>-2.0134228187919461</v>
      </c>
      <c r="AJ77" s="24">
        <v>0.67114093959731547</v>
      </c>
      <c r="AK77" s="60"/>
      <c r="AL77" s="24"/>
      <c r="AM77" s="24">
        <v>0.13422818791946309</v>
      </c>
      <c r="AN77" s="94">
        <v>4.1610738255033555</v>
      </c>
      <c r="AO77" s="24">
        <v>4.6979865771812079</v>
      </c>
      <c r="AP77" s="24">
        <v>4.5637583892617446</v>
      </c>
      <c r="AQ77" s="60"/>
      <c r="AR77" s="24"/>
      <c r="AS77" s="24">
        <v>4.6979865771812079</v>
      </c>
      <c r="AT77" s="94">
        <v>4.1610738255033555</v>
      </c>
      <c r="AU77" s="24">
        <v>2.8187919463087248</v>
      </c>
      <c r="AV77" s="24">
        <v>2.2818791946308723</v>
      </c>
      <c r="AW77" s="60"/>
      <c r="AX77" s="24"/>
      <c r="AY77" s="24">
        <v>-2.4161073825503356</v>
      </c>
      <c r="AZ77" s="94">
        <v>0.80536912751677847</v>
      </c>
      <c r="BA77" s="24">
        <v>4.9664429530201337</v>
      </c>
      <c r="BB77" s="24">
        <v>-6.174496644295302</v>
      </c>
      <c r="BC77" s="60"/>
      <c r="BD77" s="24"/>
      <c r="BE77" s="24">
        <v>-8.4563758389261743</v>
      </c>
      <c r="BF77" s="94">
        <v>-6.9798657718120802</v>
      </c>
      <c r="BG77" s="24">
        <v>-7.5167785234899327</v>
      </c>
      <c r="BH77" s="24">
        <v>-4.6979865771812079</v>
      </c>
      <c r="BI77" s="60"/>
      <c r="BJ77" s="24"/>
      <c r="BK77" s="24">
        <v>-6.5771812080536911</v>
      </c>
      <c r="BL77" s="94">
        <v>-4.5637583892617446</v>
      </c>
      <c r="BM77" s="24">
        <v>-4.9664429530201337</v>
      </c>
      <c r="BN77" s="24">
        <v>-3.7</v>
      </c>
      <c r="BO77" s="60"/>
      <c r="BP77" s="24"/>
      <c r="BQ77" s="24">
        <v>-3.4</v>
      </c>
      <c r="BR77" s="94">
        <v>-4.2</v>
      </c>
      <c r="BS77" s="24">
        <v>-4.7</v>
      </c>
      <c r="BT77" s="24">
        <v>-5.4</v>
      </c>
      <c r="BU77" s="60"/>
      <c r="BV77" s="24"/>
      <c r="BW77" s="24">
        <v>0</v>
      </c>
      <c r="BX77" s="94">
        <v>0</v>
      </c>
      <c r="BY77" s="24">
        <v>0</v>
      </c>
      <c r="BZ77" s="24"/>
      <c r="CA77" s="60"/>
      <c r="CB77" s="24"/>
      <c r="CC77" s="24"/>
      <c r="CD77" s="94"/>
      <c r="CE77" s="24"/>
      <c r="CF77" s="24"/>
      <c r="CG77" s="60"/>
      <c r="CH77" s="24"/>
      <c r="CI77" s="24"/>
      <c r="CJ77" s="94"/>
      <c r="CK77" s="24"/>
      <c r="CL77" s="24"/>
      <c r="CM77" s="60"/>
    </row>
    <row r="78" spans="1:91" s="44" customFormat="1" ht="18.75" customHeight="1" x14ac:dyDescent="0.2">
      <c r="C78" s="95">
        <f>SUM(C70:C77)</f>
        <v>421.744966442953</v>
      </c>
      <c r="D78" s="95">
        <f>SUM(D70:D77)</f>
        <v>446.44295302013427</v>
      </c>
      <c r="E78" s="95">
        <f>SUM(E70:E77)</f>
        <v>469.6644295302014</v>
      </c>
      <c r="F78" s="95">
        <f>SUM(F70:F77)</f>
        <v>469.66442953020135</v>
      </c>
      <c r="G78" s="96"/>
      <c r="H78" s="95"/>
      <c r="I78" s="95">
        <f>SUM(I70:I77)</f>
        <v>530.33557046979854</v>
      </c>
      <c r="J78" s="95">
        <f>SUM(J70:J77)</f>
        <v>512.48322147651004</v>
      </c>
      <c r="K78" s="95">
        <f>SUM(K70:K77)</f>
        <v>516.1073825503355</v>
      </c>
      <c r="L78" s="95">
        <f>SUM(L70:L77)</f>
        <v>513.95973154362412</v>
      </c>
      <c r="M78" s="96"/>
      <c r="N78" s="95"/>
      <c r="O78" s="95">
        <f>SUM(O70:O77)</f>
        <v>656.91275167785216</v>
      </c>
      <c r="P78" s="95">
        <f>SUM(P70:P77)</f>
        <v>696.77852348993281</v>
      </c>
      <c r="Q78" s="95">
        <f>SUM(Q70:Q77)</f>
        <v>710.73825503355704</v>
      </c>
      <c r="R78" s="95">
        <f>SUM(R70:R77)</f>
        <v>671.81208053691262</v>
      </c>
      <c r="S78" s="96"/>
      <c r="T78" s="95"/>
      <c r="U78" s="95">
        <f>SUM(U70:U77)</f>
        <v>750.46979865771812</v>
      </c>
      <c r="V78" s="95">
        <f>SUM(V70:V77)</f>
        <v>835.16778523489927</v>
      </c>
      <c r="W78" s="95">
        <f>SUM(W70:W77)</f>
        <v>867.78523489932877</v>
      </c>
      <c r="X78" s="95">
        <f>SUM(X70:X77)</f>
        <v>768.45637583892608</v>
      </c>
      <c r="Y78" s="96"/>
      <c r="Z78" s="95"/>
      <c r="AA78" s="95">
        <f>SUM(AA70:AA77)</f>
        <v>773.91946308724823</v>
      </c>
      <c r="AB78" s="107">
        <f>SUM(AB70:AB77)</f>
        <v>822.68456375838923</v>
      </c>
      <c r="AC78" s="95">
        <f>SUM(AC70:AC77)</f>
        <v>840.26845637583892</v>
      </c>
      <c r="AD78" s="95">
        <f>SUM(AD70:AD77)</f>
        <v>867.78523489932888</v>
      </c>
      <c r="AE78" s="96"/>
      <c r="AF78" s="95"/>
      <c r="AG78" s="95">
        <f>SUM(AG70:AG77)</f>
        <v>969.93288590604016</v>
      </c>
      <c r="AH78" s="107">
        <f>SUM(AH70:AH77)</f>
        <v>1052.7516778523491</v>
      </c>
      <c r="AI78" s="95">
        <f>SUM(AI70:AI77)</f>
        <v>1093.020134228188</v>
      </c>
      <c r="AJ78" s="95">
        <f>SUM(AJ70:AJ77)</f>
        <v>1103.0872483221476</v>
      </c>
      <c r="AK78" s="96"/>
      <c r="AL78" s="95"/>
      <c r="AM78" s="95">
        <f>SUM(AM70:AM77)</f>
        <v>1183.0872483221476</v>
      </c>
      <c r="AN78" s="107">
        <f>SUM(AN70:AN77)</f>
        <v>1198.3892617449662</v>
      </c>
      <c r="AO78" s="95">
        <f>SUM(AO70:AO77)</f>
        <v>1178.1208053691273</v>
      </c>
      <c r="AP78" s="95">
        <f>SUM(AP70:AP77)</f>
        <v>1140.4026845637584</v>
      </c>
      <c r="AQ78" s="96"/>
      <c r="AR78" s="95"/>
      <c r="AS78" s="95">
        <f>SUM(AS70:AS77)</f>
        <v>1162.5503355704698</v>
      </c>
      <c r="AT78" s="107">
        <f>SUM(AT70:AT77)</f>
        <v>1107.3825503355704</v>
      </c>
      <c r="AU78" s="95">
        <f>SUM(AU70:AU77)</f>
        <v>1128.5906040268455</v>
      </c>
      <c r="AV78" s="95">
        <f>SUM(AV70:AV77)</f>
        <v>1026.3087248322147</v>
      </c>
      <c r="AW78" s="96"/>
      <c r="AX78" s="95"/>
      <c r="AY78" s="95">
        <f>SUM(AY70:AY77)</f>
        <v>1121.4765100671141</v>
      </c>
      <c r="AZ78" s="95">
        <f>SUM(AZ70:AZ77)</f>
        <v>1134.0939597315437</v>
      </c>
      <c r="BA78" s="95">
        <f>SUM(BA70:BA77)</f>
        <v>1123.6241610738255</v>
      </c>
      <c r="BB78" s="95">
        <f>SUM(BB70:BB77)</f>
        <v>1044.9664429530201</v>
      </c>
      <c r="BC78" s="96"/>
      <c r="BD78" s="95"/>
      <c r="BE78" s="95">
        <f>SUM(BE70:BE77)</f>
        <v>1020.8053691275167</v>
      </c>
      <c r="BF78" s="95">
        <f>SUM(BF70:BF77)</f>
        <v>1033.4228187919464</v>
      </c>
      <c r="BG78" s="95">
        <f>SUM(BG70:BG77)</f>
        <v>1078.9261744966443</v>
      </c>
      <c r="BH78" s="95">
        <f>SUM(BH70:BH77)</f>
        <v>954.36241610738261</v>
      </c>
      <c r="BI78" s="96"/>
      <c r="BJ78" s="95"/>
      <c r="BK78" s="95">
        <f>SUM(BK70:BK77)</f>
        <v>1025.234899328859</v>
      </c>
      <c r="BL78" s="95">
        <f>SUM(BL70:BL77)</f>
        <v>996.37583892617454</v>
      </c>
      <c r="BM78" s="95">
        <f>SUM(BM70:BM77)</f>
        <v>967.24832214765092</v>
      </c>
      <c r="BN78" s="95">
        <f>SUM(BN70:BN77)</f>
        <v>898.40000000000009</v>
      </c>
      <c r="BO78" s="96"/>
      <c r="BP78" s="95"/>
      <c r="BQ78" s="95">
        <f>SUM(BQ70:BQ77)</f>
        <v>974.9</v>
      </c>
      <c r="BR78" s="95">
        <f>SUM(BR70:BR77)</f>
        <v>989.9</v>
      </c>
      <c r="BS78" s="95">
        <f>SUM(BS70:BS77)</f>
        <v>934.8</v>
      </c>
      <c r="BT78" s="95">
        <f>SUM(BT70:BT77)</f>
        <v>882.99999999999989</v>
      </c>
      <c r="BU78" s="96"/>
      <c r="BV78" s="95"/>
      <c r="BW78" s="95">
        <f>SUM(BW70:BW77)</f>
        <v>1588.3</v>
      </c>
      <c r="BX78" s="95">
        <f>SUM(BX70:BX77)</f>
        <v>1724.4999999999998</v>
      </c>
      <c r="BY78" s="95">
        <f>SUM(BY70:BY77)</f>
        <v>1713.4</v>
      </c>
      <c r="BZ78" s="95">
        <f>SUM(BZ70:BZ77)</f>
        <v>1109.5000000000002</v>
      </c>
      <c r="CA78" s="96"/>
      <c r="CB78" s="95"/>
      <c r="CC78" s="95">
        <f>SUM(CC70:CC77)</f>
        <v>1207.5999999999999</v>
      </c>
      <c r="CD78" s="95">
        <f>SUM(CD70:CD77)</f>
        <v>1176.7</v>
      </c>
      <c r="CE78" s="95">
        <f>SUM(CE70:CE77)</f>
        <v>1232</v>
      </c>
      <c r="CF78" s="95">
        <f>SUM(CF70:CF77)</f>
        <v>1143.8999999999999</v>
      </c>
      <c r="CG78" s="96"/>
      <c r="CH78" s="95"/>
      <c r="CI78" s="95">
        <f>SUM(CI70:CI77)</f>
        <v>1207.2</v>
      </c>
      <c r="CJ78" s="95">
        <f>SUM(CJ70:CJ77)</f>
        <v>1180.2</v>
      </c>
      <c r="CK78" s="95">
        <f>SUM(CK70:CK77)</f>
        <v>1156.2</v>
      </c>
      <c r="CL78" s="95">
        <f>SUM(CL70:CL77)</f>
        <v>1046</v>
      </c>
      <c r="CM78" s="96"/>
    </row>
    <row r="79" spans="1:91" s="49" customFormat="1" ht="18.75" customHeight="1" x14ac:dyDescent="0.2">
      <c r="A79" s="49" t="s">
        <v>49</v>
      </c>
      <c r="C79" s="52"/>
      <c r="D79" s="52"/>
      <c r="E79" s="52"/>
      <c r="F79" s="52">
        <v>0.14695099596724917</v>
      </c>
      <c r="G79" s="53"/>
      <c r="I79" s="52">
        <f>(D68+E68+F68+I68+'OLD Valuation 2005-2019'!H20+'OLD Valuation 2005-2019'!H21)/AVERAGE(C78:I78)</f>
        <v>0.15243727392777176</v>
      </c>
      <c r="J79" s="52">
        <f>(E68+F68+I68+J68+'OLD Valuation 2005-2019'!I20+'OLD Valuation 2005-2019'!I21)/AVERAGE(D78:J78)</f>
        <v>0.165809981760902</v>
      </c>
      <c r="K79" s="52">
        <f>(F68+I68+J68+K68+'OLD Valuation 2005-2019'!J20+'OLD Valuation 2005-2019'!J21)/AVERAGE(E78:K78)</f>
        <v>0.17703632065334191</v>
      </c>
      <c r="L79" s="52">
        <f>(M68+'OLD Valuation 2005-2019'!K20+'OLD Valuation 2005-2019'!K21)/(AVERAGE(F78:L78))</f>
        <v>0.18741421180445578</v>
      </c>
      <c r="M79" s="53"/>
      <c r="O79" s="52">
        <f>(J68+K68+L68+O68+'OLD Valuation 2005-2019'!M20+'OLD Valuation 2005-2019'!M21)/AVERAGE(I78:O78)</f>
        <v>0.19103112553473967</v>
      </c>
      <c r="P79" s="52">
        <f>(K68+L68+O68+P68+'OLD Valuation 2005-2019'!N20+'OLD Valuation 2005-2019'!N21)/AVERAGE(J78:P78)</f>
        <v>0.20670158038652273</v>
      </c>
      <c r="Q79" s="52">
        <f>(L68+O68+P68+Q68+'OLD Valuation 2005-2019'!O20+'OLD Valuation 2005-2019'!O21)/AVERAGE(K78:Q78)</f>
        <v>0.20343541250975974</v>
      </c>
      <c r="R79" s="52">
        <f>(S68+'OLD Valuation 2005-2019'!P20+'OLD Valuation 2005-2019'!P21)/(AVERAGE(L78:R78))</f>
        <v>0.21950111505740483</v>
      </c>
      <c r="S79" s="53"/>
      <c r="U79" s="52">
        <f>(P68+Q68+R68+U68+'OLD Valuation 2005-2019'!R20+'OLD Valuation 2005-2019'!R21)/AVERAGE(O78:U78)</f>
        <v>0.21134893748075151</v>
      </c>
      <c r="V79" s="52">
        <f>(Q68+R68+U68+V68+'OLD Valuation 2005-2019'!S20+'OLD Valuation 2005-2019'!S21)/AVERAGE(P78:V78)</f>
        <v>0.20949311456196901</v>
      </c>
      <c r="W79" s="52">
        <f>(R68+U68+V68+W68-70/7.45+31/7.45)/AVERAGE(Q78:W78)</f>
        <v>0.20435299881027369</v>
      </c>
      <c r="X79" s="52">
        <f>(Y68+135/7.45)/(AVERAGE(R78:X78))</f>
        <v>0.16426503033645892</v>
      </c>
      <c r="Y79" s="53"/>
      <c r="AA79" s="54">
        <f>(V68+W68+X68+AA68+155/7.45)/AVERAGE(U78:AA78)</f>
        <v>0.13151397272974635</v>
      </c>
      <c r="AB79" s="52">
        <f>(W68+X68+AA68+AB68+155/7.45+57/7.45)/AVERAGE(V78:AB78)</f>
        <v>0.10047283273995518</v>
      </c>
      <c r="AC79" s="52">
        <f>(X68+AA68+AB68+AC68+219/7.45)/AVERAGE(W78:AC78)</f>
        <v>8.33753505554512E-2</v>
      </c>
      <c r="AD79" s="52">
        <f>(AE68+152/7.45)/(AVERAGE(X78:AD78))</f>
        <v>9.3591302599795034E-2</v>
      </c>
      <c r="AE79" s="53"/>
      <c r="AG79" s="54">
        <f>(AB68+AC68+AD68+AG68+155/7.45)/AVERAGE(AA78:AG78)</f>
        <v>0.10283962984013541</v>
      </c>
      <c r="AH79" s="54">
        <f>(AC68+AD68+AG68+AH68+121/7.45)/AVERAGE(AB78:AH78)</f>
        <v>9.3594316540400332E-2</v>
      </c>
      <c r="AI79" s="54">
        <f>(AD68+AG68+AH68+AI68+110/7.45)/AVERAGE(AC78:AI78)</f>
        <v>8.9183849514428051E-2</v>
      </c>
      <c r="AJ79" s="52">
        <f>(AK68+86/7.45)/(AVERAGE(AD78:AJ78))</f>
        <v>7.4680036944187886E-2</v>
      </c>
      <c r="AK79" s="53"/>
      <c r="AM79" s="54">
        <f>(AH68+AI68+AJ68+AM68+69/7.45)/AVERAGE(AG78:AM78)</f>
        <v>6.535135672398372E-2</v>
      </c>
      <c r="AN79" s="54">
        <f>(AI68+AJ68+AM68+AN68+54/7.45)/AVERAGE(AH78:AN78)</f>
        <v>5.3282792161350304E-2</v>
      </c>
      <c r="AO79" s="54">
        <f>(AJ68+AM68+AN68+AO68+31/7.45)/AVERAGE(AI78:AO78)</f>
        <v>5.3754664179104482E-2</v>
      </c>
      <c r="AP79" s="54">
        <f>(AQ68+33/7.45)/(AVERAGE(AJ78:AP78))</f>
        <v>5.528184488700761E-2</v>
      </c>
      <c r="AQ79" s="53"/>
      <c r="AS79" s="54">
        <f>(AN68+AO68+AP68+AS68+29/7.45)/AVERAGE(AM78:AS78)</f>
        <v>5.4950087004304426E-2</v>
      </c>
      <c r="AT79" s="54">
        <f>(AO68+AP68+AS68+AT68+31/7.45)/AVERAGE(AN78:AT78)</f>
        <v>5.6248840230098358E-2</v>
      </c>
      <c r="AU79" s="54">
        <f>(AP68+AS68+AT68+AU68+39/7.45)/AVERAGE(AO78:AU78)</f>
        <v>4.8131104432757324E-2</v>
      </c>
      <c r="AV79" s="54">
        <f>(AS68+AT68+AU68+AV68+37/7.45)/AVERAGE(AP78:AV78)</f>
        <v>6.1503581679168376E-2</v>
      </c>
      <c r="AW79" s="53"/>
      <c r="AY79" s="54">
        <f>(AT68+AU68+AV68+AY68+36/7.45)/AVERAGE(AS78:AY78)</f>
        <v>5.9777347531461765E-2</v>
      </c>
      <c r="AZ79" s="54">
        <f>(AU68+AV68+AY68+AZ68+27/7.45)/AVERAGE(AT78:AZ78)</f>
        <v>6.5072491972365476E-2</v>
      </c>
      <c r="BA79" s="54">
        <f>(AV68+AY68+AZ68+BA68+27/7.45)/AVERAGE(AU78:BA78)</f>
        <v>6.5245337020058719E-2</v>
      </c>
      <c r="BB79" s="54">
        <f>(AY68+AZ68+BA68+BB68+39/7.45)/AVERAGE(AV78:BB78)</f>
        <v>6.7354578141161386E-2</v>
      </c>
      <c r="BC79" s="53"/>
      <c r="BE79" s="54">
        <f>(AZ68+BA68+BB68+BE68-2.5/7.45)/AVERAGE(AY78:BE78)</f>
        <v>7.1305312461481585E-2</v>
      </c>
      <c r="BF79" s="54">
        <f>(BA68+BB68+BE68+BF68+25.1/7.45+74/7.45)/AVERAGE(AZ78:BF78)</f>
        <v>7.7313387957603549E-2</v>
      </c>
      <c r="BG79" s="54">
        <f>(BB68+BE68+BF68+BG68+222/7.45-96/7.45)/AVERAGE(BA78:BG78)</f>
        <v>8.0510405590156459E-2</v>
      </c>
      <c r="BH79" s="54">
        <f>(BE68+BF68+BG68+BH68+307/7.45-96/7.45)/AVERAGE(BB78:BH78)</f>
        <v>9.3626592044354959E-2</v>
      </c>
      <c r="BI79" s="53"/>
      <c r="BK79" s="54">
        <f>(BF68+BG68+BH68+BK68+289/7.45)/AVERAGE(BE78:BK78)</f>
        <v>9.7269624573378843E-2</v>
      </c>
      <c r="BL79" s="54">
        <f>(BG68+BH68+BK68+BL68+222/7.45+19/7.45+286/7.45)/AVERAGE(BF78:BL78)</f>
        <v>0.11224543631951039</v>
      </c>
      <c r="BM79" s="54">
        <f>(BH68+BK68+BL68+BM68+212/7.45+19/7.45+282/7.45)/AVERAGE(BG78:BM78)</f>
        <v>0.11238807964720032</v>
      </c>
      <c r="BN79" s="54">
        <v>0.10100000000000001</v>
      </c>
      <c r="BO79" s="53"/>
      <c r="BQ79" s="54">
        <f>(BL68+BM68+BN68+BQ68+61)/AVERAGE(BK78:BQ78)</f>
        <v>9.9696781762238104E-2</v>
      </c>
      <c r="BR79" s="54">
        <f>(BM68+BN68+BQ68+BR68+17.6)/AVERAGE(BL78:BR78)</f>
        <v>9.2696463610516602E-2</v>
      </c>
      <c r="BS79" s="54">
        <v>0.105</v>
      </c>
      <c r="BT79" s="54">
        <v>0.11700000000000001</v>
      </c>
      <c r="BU79" s="53"/>
      <c r="BW79" s="54">
        <f>(BR68+BS68+BT68+BW68+85.2)/AVERAGE(BQ78:BW78)</f>
        <v>0.12065017036250909</v>
      </c>
      <c r="BX79" s="54">
        <f>(BS68+BT68+BW68+BX68+90.8)/AVERAGE(BR78:BX78)</f>
        <v>0.12833918797483868</v>
      </c>
      <c r="BY79" s="54">
        <f>(BT68+BW68+BX68+BY68+53.8)/AVERAGE(BS78:BY78)</f>
        <v>0.12529222676797194</v>
      </c>
      <c r="BZ79" s="54">
        <v>0.11799999999999999</v>
      </c>
      <c r="CA79" s="53"/>
      <c r="CC79" s="54">
        <v>7.8E-2</v>
      </c>
      <c r="CD79" s="54">
        <v>4.8000000000000001E-2</v>
      </c>
      <c r="CE79" s="54">
        <v>2.5000000000000001E-2</v>
      </c>
      <c r="CF79" s="54">
        <v>-7.0000000000000001E-3</v>
      </c>
      <c r="CG79" s="53"/>
      <c r="CI79" s="54">
        <v>-2.5999999999999999E-2</v>
      </c>
      <c r="CJ79" s="54">
        <v>-4.3999999999999997E-2</v>
      </c>
      <c r="CK79" s="54">
        <v>-0.06</v>
      </c>
      <c r="CL79" s="54">
        <v>-6.2E-2</v>
      </c>
      <c r="CM79" s="53"/>
    </row>
    <row r="80" spans="1:91" s="1" customFormat="1" ht="18.75" customHeight="1" x14ac:dyDescent="0.2">
      <c r="A80" s="1" t="s">
        <v>148</v>
      </c>
      <c r="C80" s="21"/>
      <c r="D80" s="21"/>
      <c r="E80" s="21"/>
      <c r="F80" s="21">
        <v>0.22574819401444787</v>
      </c>
      <c r="G80" s="50"/>
      <c r="I80" s="21">
        <f>(D61+E61+F61+I61)/AVERAGE(C72:I72)</f>
        <v>9.3696763202725741E-2</v>
      </c>
      <c r="J80" s="21">
        <f>(E61+F61+I61+J61)/AVERAGE(D71:J71)</f>
        <v>0.26487367563162184</v>
      </c>
      <c r="K80" s="21">
        <f>(F61+I61+J61+K61)/AVERAGE(E71:K71)</f>
        <v>0.274967813132242</v>
      </c>
      <c r="L80" s="21">
        <f>M61/(AVERAGE(F71:L71))</f>
        <v>0.25975146703486363</v>
      </c>
      <c r="M80" s="50"/>
      <c r="O80" s="21">
        <f>(J61+K61+L61+O61)/AVERAGE(I71:O71)</f>
        <v>0.22816075914038517</v>
      </c>
      <c r="P80" s="21">
        <f>(K61+L61+O61+P61)/AVERAGE(J71:P71)</f>
        <v>0.23789846517119248</v>
      </c>
      <c r="Q80" s="21">
        <f>(L61+O61+P61+Q61)/AVERAGE(K71:Q71)</f>
        <v>0.22790267939636588</v>
      </c>
      <c r="R80" s="21">
        <f>(S61+'OLD Valuation 2005-2019'!P20+'OLD Valuation 2005-2019'!P19)/(AVERAGE(L71:R71))</f>
        <v>0.23615406241214507</v>
      </c>
      <c r="S80" s="50"/>
      <c r="U80" s="21">
        <f>(P61+Q61+R61+U61+'OLD Valuation 2005-2019'!R20)/AVERAGE(O71:U71)</f>
        <v>0.21296911325141146</v>
      </c>
      <c r="V80" s="21">
        <f>(Q61+R61+U61+V61+'OLD Valuation 2005-2019'!S20)/AVERAGE(P71:V71)</f>
        <v>0.1975182596403047</v>
      </c>
      <c r="W80" s="21">
        <f>(R61+U61+V61+W61-70/7.45)/AVERAGE(Q71:W71)</f>
        <v>0.17898599565640683</v>
      </c>
      <c r="X80" s="21">
        <f>(Y61+75/7.45)/(AVERAGE(R71:X71))</f>
        <v>0.13975271637317352</v>
      </c>
      <c r="Y80" s="50"/>
      <c r="AA80" s="22">
        <f>(V61+W61+X61+AA61+75/7.45)/AVERAGE(U71:AA71)</f>
        <v>9.6216941554659347E-2</v>
      </c>
      <c r="AB80" s="21">
        <f>(W61+X61+AA61+AB61+75/7.45)/AVERAGE(V71:AB71)</f>
        <v>7.6406859317672313E-2</v>
      </c>
      <c r="AC80" s="21">
        <f>(X61+AA61+AB61+AC61+50/7.45+25/7.45)/AVERAGE(W71:AC71)</f>
        <v>5.7928367841581917E-2</v>
      </c>
      <c r="AD80" s="21">
        <f>(AE61+0)/(AVERAGE(X71:AD71))</f>
        <v>6.896744876453742E-2</v>
      </c>
      <c r="AE80" s="50"/>
      <c r="AG80" s="22">
        <f>(AB61+AC61+AD61+AG61)/AVERAGE(AA71:AG71)</f>
        <v>7.5245024582166933E-2</v>
      </c>
      <c r="AH80" s="22">
        <f>(AC61+AD61+AG61+AH61)/AVERAGE(AB71:AH71)</f>
        <v>4.6114432109308288E-2</v>
      </c>
      <c r="AI80" s="22">
        <f>(AD61+AG61+AH61+AI61)/AVERAGE(AC71:AI71)</f>
        <v>4.5982950142082146E-2</v>
      </c>
      <c r="AJ80" s="21">
        <f>(AK61+0)/(AVERAGE(AD71:AJ71))</f>
        <v>2.6085291724501032E-2</v>
      </c>
      <c r="AK80" s="50"/>
      <c r="AM80" s="22">
        <f>(AH61+AI61+AJ61+AM61)/AVERAGE(AG71:AM71)</f>
        <v>1.3174651969610467E-2</v>
      </c>
      <c r="AN80" s="22">
        <f>(AI61+AJ61+AM61+AN61)/AVERAGE(AH71:AN71)</f>
        <v>-5.3825770122557124E-3</v>
      </c>
      <c r="AO80" s="22">
        <f>(AJ61+AM61+AN61+AO61)/AVERAGE(AI71:AO71)</f>
        <v>-2.2524350649350648E-2</v>
      </c>
      <c r="AP80" s="21">
        <f>(AQ61+0)/(AVERAGE(AJ71:AP71))</f>
        <v>-3.156513896859884E-2</v>
      </c>
      <c r="AQ80" s="50"/>
      <c r="AS80" s="22">
        <f>(AN61+AO61+AP61+AS61)/AVERAGE(AM71:AS71)</f>
        <v>-3.0318029946788765E-2</v>
      </c>
      <c r="AT80" s="22">
        <f>(AO61+AP61+AS61+AT61)/AVERAGE(AN71:AT71)</f>
        <v>-2.4434427265450566E-2</v>
      </c>
      <c r="AU80" s="22">
        <f>(AP61+AS61+AT61+AU61)/AVERAGE(AO71:AU71)</f>
        <v>-1.8980592876946045E-2</v>
      </c>
      <c r="AV80" s="22">
        <f>(AS61+AT61+AU61+AV61)/AVERAGE(AP71:AV71)</f>
        <v>-4.3512313984857655E-4</v>
      </c>
      <c r="AW80" s="50"/>
      <c r="AY80" s="22">
        <f>(AT61+AU61+AV61+AY61)/AVERAGE(AS71:AY71)</f>
        <v>-4.2905564851761284E-4</v>
      </c>
      <c r="AZ80" s="22">
        <f>(AU61+AV61+AY61+AZ61)/AVERAGE(AT71:AZ71)</f>
        <v>4.2414217245620731E-3</v>
      </c>
      <c r="BA80" s="22">
        <f>(AV61+AY61+AZ61+BA61)/AVERAGE(AU71:BA71)</f>
        <v>3.3623334594208389E-3</v>
      </c>
      <c r="BB80" s="22">
        <f>(AY61+AZ61+BA61+BB61+21/7.45)/AVERAGE(AV71:BB71)</f>
        <v>7.6860668687817593E-3</v>
      </c>
      <c r="BC80" s="50"/>
      <c r="BE80" s="22">
        <f>(AZ61+BA61+BB61+BE61+75.5/7.45)/AVERAGE(AY71:BE71)</f>
        <v>8.4807626245276529E-3</v>
      </c>
      <c r="BF80" s="22">
        <f>(BA61+BB61+BE61+BF61+178.1/7.45)/AVERAGE(AZ71:BF71)</f>
        <v>1.8511181546046838E-2</v>
      </c>
      <c r="BG80" s="22">
        <f>(BB61+BE61+BF61+BG61+222/7.45)/AVERAGE(BA71:BG71)</f>
        <v>2.7525399453967675E-2</v>
      </c>
      <c r="BH80" s="22">
        <f>(BE61+BF61+BG61+BH61+307/7.45)/AVERAGE(BB71:BH71)</f>
        <v>4.217409846941194E-2</v>
      </c>
      <c r="BI80" s="50"/>
      <c r="BK80" s="22">
        <f>(BF61+BG61+BH61+BK61+290/7.45)/AVERAGE(BE71:BK71)</f>
        <v>5.8099458394879372E-2</v>
      </c>
      <c r="BL80" s="22">
        <f>(BG61+BH61+BK61+BL61+222/7.45+286/7.45)/AVERAGE(BF71:BL71)</f>
        <v>9.2848373235113565E-2</v>
      </c>
      <c r="BM80" s="22">
        <f>(BH61+BK61+BL61+BM61+212/7.45+282/7.45)/AVERAGE(BG71:BM71)</f>
        <v>9.0126446058649445E-2</v>
      </c>
      <c r="BN80" s="22">
        <v>8.2000000000000003E-2</v>
      </c>
      <c r="BO80" s="50"/>
      <c r="BQ80" s="22">
        <f>(BL61+BM61+BN61+BQ61+58.5)/AVERAGE(BK71:BQ71)</f>
        <v>8.2296201713767073E-2</v>
      </c>
      <c r="BR80" s="22">
        <f>(BM61+BN61+BQ61+BR61+17.6)/AVERAGE(BL71:BR71)</f>
        <v>6.1305860151723256E-2</v>
      </c>
      <c r="BS80" s="22">
        <v>0.08</v>
      </c>
      <c r="BT80" s="22">
        <v>9.2999999999999999E-2</v>
      </c>
      <c r="BU80" s="50"/>
      <c r="BW80" s="22">
        <v>9.5000000000000001E-2</v>
      </c>
      <c r="BX80" s="22">
        <v>9.1999999999999998E-2</v>
      </c>
      <c r="BY80" s="22">
        <v>8.6999999999999994E-2</v>
      </c>
      <c r="BZ80" s="22">
        <v>7.4999999999999997E-2</v>
      </c>
      <c r="CA80" s="50"/>
      <c r="CC80" s="22">
        <v>5.2999999999999999E-2</v>
      </c>
      <c r="CD80" s="22">
        <v>4.1000000000000002E-2</v>
      </c>
      <c r="CE80" s="22">
        <v>2.9000000000000001E-2</v>
      </c>
      <c r="CF80" s="22">
        <v>-8.0000000000000002E-3</v>
      </c>
      <c r="CG80" s="50"/>
      <c r="CI80" s="22">
        <v>-2.9000000000000001E-2</v>
      </c>
      <c r="CJ80" s="22">
        <v>-5.0999999999999997E-2</v>
      </c>
      <c r="CK80" s="22">
        <v>-7.0999999999999994E-2</v>
      </c>
      <c r="CL80" s="22">
        <v>-7.1999999999999995E-2</v>
      </c>
      <c r="CM80" s="50"/>
    </row>
    <row r="81" spans="1:91" s="131" customFormat="1" ht="18.75" customHeight="1" x14ac:dyDescent="0.2">
      <c r="A81" s="131" t="s">
        <v>85</v>
      </c>
      <c r="C81" s="132"/>
      <c r="D81" s="132"/>
      <c r="E81" s="132"/>
      <c r="F81" s="132">
        <v>0.14803516956755788</v>
      </c>
      <c r="G81" s="133"/>
      <c r="I81" s="132">
        <f>(D62+E62+F62+I62+'OLD Valuation 2005-2019'!H20+'OLD Valuation 2005-2019'!H21)/AVERAGE(C72:I72)</f>
        <v>0.14395229982964225</v>
      </c>
      <c r="J81" s="132">
        <f>(E62+F62+I62+J62+'OLD Valuation 2005-2019'!I20+'OLD Valuation 2005-2019'!I21)/AVERAGE(D72:J72)</f>
        <v>0.14823451032644905</v>
      </c>
      <c r="K81" s="132">
        <f>(F62+I62+J62+K62+'OLD Valuation 2005-2019'!J20+'OLD Valuation 2005-2019'!J21)/AVERAGE(E72:K72)</f>
        <v>0.15078507933870566</v>
      </c>
      <c r="L81" s="132">
        <f>(M62+'OLD Valuation 2005-2019'!K21+'OLD Valuation 2005-2019'!K20)/(AVERAGE(F72:L72))</f>
        <v>0.16604400166044003</v>
      </c>
      <c r="M81" s="133"/>
      <c r="O81" s="132">
        <f>(J62+K62+L62+O62+'OLD Valuation 2005-2019'!M20+'OLD Valuation 2005-2019'!M21)/AVERAGE(I72:O72)</f>
        <v>0.18078297730861939</v>
      </c>
      <c r="P81" s="132">
        <f>(K62+L62+O62+P62+'OLD Valuation 2005-2019'!N20+'OLD Valuation 2005-2019'!N21)/AVERAGE(J72:P72)</f>
        <v>0.18875838926174496</v>
      </c>
      <c r="Q81" s="132">
        <f>(L62+O62+P62+Q62+'OLD Valuation 2005-2019'!O20+'OLD Valuation 2005-2019'!O21)/AVERAGE(K72:Q72)</f>
        <v>0.18647439085032322</v>
      </c>
      <c r="R81" s="132">
        <f>S62/(AVERAGE(L72:R72))</f>
        <v>0.20141890238930113</v>
      </c>
      <c r="S81" s="133"/>
      <c r="U81" s="132">
        <f>(P62+Q62+R62+U62)/AVERAGE(O72:U72)</f>
        <v>0.19734752223634056</v>
      </c>
      <c r="V81" s="132">
        <f>(Q62+R62+U62+V62)/AVERAGE(P72:V72)</f>
        <v>0.19360527526453</v>
      </c>
      <c r="W81" s="132">
        <f>(R62+U62+V62+W62+31/7.45)/AVERAGE(Q72:W72)</f>
        <v>0.18716181157808906</v>
      </c>
      <c r="X81" s="132">
        <f>(Y62+50/7.45)/(AVERAGE(R72:X72))</f>
        <v>0.1601656134234038</v>
      </c>
      <c r="Y81" s="133"/>
      <c r="AA81" s="134">
        <f>(V62+W62+X62+AA62+50/7.45+20/7.45)/AVERAGE(U72:AA72)</f>
        <v>0.13548020995885943</v>
      </c>
      <c r="AB81" s="132">
        <f>(W62+X62+AA62+AB62+50/7.45+20/7.45+57/7.45)/AVERAGE(V72:AB72)</f>
        <v>0.11065399347425164</v>
      </c>
      <c r="AC81" s="132">
        <f>(X62+AA62+AB62+AC62+19/7.45+20/7.45+57/7.45+38/7.45)/AVERAGE(W72:AC72)</f>
        <v>0.10779616724738676</v>
      </c>
      <c r="AD81" s="132">
        <f>(AE62+152/7.45)/(AVERAGE(X72:AD72))</f>
        <v>0.10892193308550187</v>
      </c>
      <c r="AE81" s="133"/>
      <c r="AG81" s="134">
        <f>(AB62+AC62+AD62+AG62+153/7.45)/AVERAGE(AA72:AG72)</f>
        <v>0.13518546104573215</v>
      </c>
      <c r="AH81" s="134">
        <f>(AC62+AD62+AG62+AH62+121/7.45)/AVERAGE(AB72:AH72)</f>
        <v>0.15853119008995722</v>
      </c>
      <c r="AI81" s="134">
        <f>(AD62+AG62+AH62+AI62+110/7.45)/AVERAGE(AC72:AI72)</f>
        <v>0.15927272727272726</v>
      </c>
      <c r="AJ81" s="132">
        <f>(AK62+86/7.45)/(AVERAGE(AD72:AJ72))</f>
        <v>0.15084985835694054</v>
      </c>
      <c r="AK81" s="133"/>
      <c r="AM81" s="134">
        <f>(AH62+AI62+AJ62+AM62+69/7.45)/AVERAGE(AG72:AM72)</f>
        <v>0.14698795180722893</v>
      </c>
      <c r="AN81" s="134">
        <f>(AI62+AJ62+AM62+AN62+54/7.45)/AVERAGE(AH72:AN72)</f>
        <v>0.14733840304182511</v>
      </c>
      <c r="AO81" s="134">
        <f>(AJ62+AM62+AN62+AO62+31/7.45)/AVERAGE(AI72:AO72)</f>
        <v>0.15264109258887326</v>
      </c>
      <c r="AP81" s="132">
        <f>(AQ62+33/7.45)/(AVERAGE(AJ72:AP72))</f>
        <v>0.17080339647289353</v>
      </c>
      <c r="AQ81" s="133"/>
      <c r="AS81" s="134">
        <f>(AN62+AO62+AP62+AS62+29/7.45)/AVERAGE(AM72:AS72)</f>
        <v>0.17041841536309293</v>
      </c>
      <c r="AT81" s="134">
        <f>(AO62+AP62+AS62+AT62+31/7.45)/AVERAGE(AN72:AT72)</f>
        <v>0.16660450080815614</v>
      </c>
      <c r="AU81" s="134">
        <f>(AP62+AS62+AT62+AU62+39/7.45)/AVERAGE(AO72:AU72)</f>
        <v>0.16124097417696728</v>
      </c>
      <c r="AV81" s="134">
        <f>(AS62+AT62+AU62+AV62+37/7.45)/AVERAGE(AP72:AV72)</f>
        <v>0.17100073946265715</v>
      </c>
      <c r="AW81" s="133"/>
      <c r="AY81" s="134">
        <f>(AT62+AU62+AV62+AY62+36/7.45)/AVERAGE(AS72:AY72)</f>
        <v>0.16737935247403785</v>
      </c>
      <c r="AZ81" s="134">
        <f>(AU62+AV62+AY62+AZ62+27/7.45)/AVERAGE(AT72:AZ72)</f>
        <v>0.17228805834092983</v>
      </c>
      <c r="BA81" s="134">
        <f>(AV62+AY62+AZ62+BA62+12/7.45)/AVERAGE(AU72:BA72)</f>
        <v>0.17389174626500117</v>
      </c>
      <c r="BB81" s="134">
        <f>(AY62+AZ62+BA62+BB62)/AVERAGE(AV72:BB72)</f>
        <v>0.17469954156857884</v>
      </c>
      <c r="BC81" s="133"/>
      <c r="BE81" s="134">
        <f>(AZ62+BA62+BB62+BE62-96.9/7.45)/AVERAGE(AY72:BE72)</f>
        <v>0.17956495098039219</v>
      </c>
      <c r="BF81" s="134">
        <f>(BA62+BB62+BE62+BF62-96.9/7.45)/AVERAGE(AZ72:BF72)</f>
        <v>0.17826193841804439</v>
      </c>
      <c r="BG81" s="134">
        <f>(BB62+BE62+BF62+BG62-96/7.45)/AVERAGE(BA72:BG72)</f>
        <v>0.17350254429526088</v>
      </c>
      <c r="BH81" s="134">
        <f>(BE62+BF62+BG62+BH62-96/7.45)/AVERAGE(BB72:BH72)</f>
        <v>0.17621548986073787</v>
      </c>
      <c r="BI81" s="133"/>
      <c r="BK81" s="134">
        <f>(BF62+BG62+BH62+BK62)/AVERAGE(BE72:BK72)</f>
        <v>0.15943390686476011</v>
      </c>
      <c r="BL81" s="134">
        <f>(BG62+BH62+BK62+BL62)/AVERAGE(BF72:BL72)</f>
        <v>0.15071525885558584</v>
      </c>
      <c r="BM81" s="134">
        <f>(BH62+BK62+BL62+BM62)/AVERAGE(BG72:BM72)</f>
        <v>0.14791919637929135</v>
      </c>
      <c r="BN81" s="134">
        <v>0.129</v>
      </c>
      <c r="BO81" s="133"/>
      <c r="BQ81" s="134">
        <f>(BL62+BM62+BN62+BQ62)/AVERAGE(BK72:BQ72)</f>
        <v>0.1253858024691358</v>
      </c>
      <c r="BR81" s="134">
        <f>(BM62+BN62+BQ62+BR62)/AVERAGE(BL72:BR72)</f>
        <v>0.12719056905949569</v>
      </c>
      <c r="BS81" s="134">
        <v>0.13500000000000001</v>
      </c>
      <c r="BT81" s="134">
        <v>0.14599999999999999</v>
      </c>
      <c r="BU81" s="133"/>
      <c r="BW81" s="134">
        <f>(BR62+BS62+BT62+BW62+26)/AVERAGE(BQ72:BW72)</f>
        <v>0.17716759712885954</v>
      </c>
      <c r="BX81" s="134">
        <f>(BS62+BT62+BW62+BX62+28.6)/AVERAGE(BR72:BX72)</f>
        <v>0.20269498686764875</v>
      </c>
      <c r="BY81" s="134">
        <f>(BT62+BU62+BX62+BY62+16.2)/AVERAGE(BS72:BY72)</f>
        <v>0.259208208898078</v>
      </c>
      <c r="BZ81" s="134"/>
      <c r="CA81" s="133"/>
      <c r="CC81" s="134"/>
      <c r="CD81" s="134"/>
      <c r="CE81" s="134"/>
      <c r="CF81" s="134"/>
      <c r="CG81" s="133"/>
      <c r="CI81" s="134"/>
      <c r="CJ81" s="134"/>
      <c r="CK81" s="134"/>
      <c r="CL81" s="134"/>
      <c r="CM81" s="133"/>
    </row>
    <row r="82" spans="1:91" s="1" customFormat="1" ht="3.95" customHeight="1" x14ac:dyDescent="0.2">
      <c r="C82" s="21"/>
      <c r="D82" s="21"/>
      <c r="E82" s="21"/>
      <c r="F82" s="21"/>
      <c r="G82" s="22"/>
      <c r="I82" s="21"/>
      <c r="J82" s="21"/>
      <c r="K82" s="21"/>
      <c r="L82" s="21"/>
      <c r="M82" s="22"/>
      <c r="O82" s="21"/>
      <c r="P82" s="21"/>
      <c r="Q82" s="21"/>
      <c r="R82" s="21"/>
      <c r="S82" s="22"/>
      <c r="U82" s="21"/>
      <c r="V82" s="21"/>
      <c r="W82" s="21"/>
      <c r="X82" s="21"/>
      <c r="Y82" s="22"/>
      <c r="AA82" s="22"/>
      <c r="AB82" s="21"/>
      <c r="AC82" s="21"/>
      <c r="AD82" s="21"/>
      <c r="AE82" s="22"/>
      <c r="AG82" s="4"/>
      <c r="AH82" s="130"/>
      <c r="AI82" s="21"/>
      <c r="AJ82" s="21"/>
      <c r="AK82" s="22"/>
    </row>
    <row r="83" spans="1:91" ht="11.1" customHeight="1" x14ac:dyDescent="0.2">
      <c r="A83" s="108" t="s">
        <v>128</v>
      </c>
      <c r="AG83" s="4"/>
      <c r="AH83" s="4"/>
      <c r="AQ83" s="61"/>
      <c r="AT83" s="4"/>
      <c r="AW83" s="61"/>
      <c r="AZ83" s="4"/>
      <c r="BA83" s="4"/>
      <c r="BB83" s="61"/>
      <c r="BC83" s="61"/>
      <c r="BE83" s="4"/>
      <c r="BF83" s="4"/>
      <c r="BG83" s="4"/>
      <c r="BH83" s="61"/>
      <c r="BI83" s="61"/>
      <c r="BK83" s="4"/>
      <c r="BL83" s="4"/>
      <c r="BM83" s="4"/>
      <c r="BO83" s="61"/>
      <c r="BQ83" s="4"/>
      <c r="BR83" s="4"/>
      <c r="BS83" s="4"/>
      <c r="BU83" s="61"/>
      <c r="BV83" s="112"/>
      <c r="BW83" s="113" t="s">
        <v>151</v>
      </c>
      <c r="BX83" s="4"/>
      <c r="BY83" s="4"/>
      <c r="CA83" s="61"/>
      <c r="CC83" s="113"/>
      <c r="CD83" s="4"/>
      <c r="CE83" s="4"/>
      <c r="CG83" s="61"/>
      <c r="CI83" s="113"/>
      <c r="CJ83" s="4"/>
      <c r="CK83" s="4"/>
      <c r="CM83" s="61"/>
    </row>
    <row r="84" spans="1:91" ht="11.1" customHeight="1" x14ac:dyDescent="0.2">
      <c r="A84" s="110" t="s">
        <v>154</v>
      </c>
      <c r="BW84" s="109" t="s">
        <v>152</v>
      </c>
      <c r="CC84" s="109"/>
      <c r="CI84" s="109"/>
    </row>
    <row r="85" spans="1:91" ht="11.1" customHeight="1" x14ac:dyDescent="0.2">
      <c r="A85" s="110" t="s">
        <v>155</v>
      </c>
      <c r="BK85" s="4"/>
      <c r="BL85" s="6"/>
      <c r="BQ85" s="4"/>
      <c r="BR85" s="4"/>
      <c r="BW85" s="114" t="s">
        <v>153</v>
      </c>
      <c r="BX85" s="4"/>
      <c r="CC85" s="114"/>
      <c r="CD85" s="4"/>
      <c r="CF85" s="24"/>
      <c r="CI85" s="114"/>
      <c r="CJ85" s="4"/>
      <c r="CL85" s="24"/>
    </row>
    <row r="86" spans="1:91" x14ac:dyDescent="0.2">
      <c r="AQ86" s="61"/>
      <c r="AW86" s="61"/>
      <c r="BB86" s="61"/>
      <c r="BC86" s="61"/>
      <c r="BH86" s="61"/>
      <c r="BI86" s="61"/>
      <c r="BK86" s="4"/>
      <c r="BO86" s="61"/>
      <c r="BQ86" s="4"/>
      <c r="BU86" s="61"/>
      <c r="BW86" s="4"/>
      <c r="CA86" s="61"/>
      <c r="CC86" s="4"/>
      <c r="CF86" s="24"/>
      <c r="CG86" s="61"/>
      <c r="CI86" s="4"/>
      <c r="CL86" s="24"/>
      <c r="CM86" s="61"/>
    </row>
  </sheetData>
  <mergeCells count="30">
    <mergeCell ref="C1:G1"/>
    <mergeCell ref="C2:G2"/>
    <mergeCell ref="AM1:AQ1"/>
    <mergeCell ref="AM2:AQ2"/>
    <mergeCell ref="I2:M2"/>
    <mergeCell ref="I1:M1"/>
    <mergeCell ref="O2:S2"/>
    <mergeCell ref="O1:S1"/>
    <mergeCell ref="AA1:AE1"/>
    <mergeCell ref="AA2:AE2"/>
    <mergeCell ref="AG1:AK1"/>
    <mergeCell ref="AG2:AK2"/>
    <mergeCell ref="U1:Y1"/>
    <mergeCell ref="U2:Y2"/>
    <mergeCell ref="AS1:AW1"/>
    <mergeCell ref="AS2:AW2"/>
    <mergeCell ref="AY1:BC1"/>
    <mergeCell ref="AY2:BC2"/>
    <mergeCell ref="CI1:CM1"/>
    <mergeCell ref="CI2:CM2"/>
    <mergeCell ref="BK1:BO1"/>
    <mergeCell ref="BK2:BO2"/>
    <mergeCell ref="CC1:CG1"/>
    <mergeCell ref="CC2:CG2"/>
    <mergeCell ref="BW1:CA1"/>
    <mergeCell ref="BW2:CA2"/>
    <mergeCell ref="BQ1:BU1"/>
    <mergeCell ref="BQ2:BU2"/>
    <mergeCell ref="BE1:BI1"/>
    <mergeCell ref="BE2:BI2"/>
  </mergeCells>
  <phoneticPr fontId="0" type="noConversion"/>
  <pageMargins left="0.23622047244094491" right="0.23622047244094491" top="0.43307086614173229" bottom="0.27559055118110237" header="0.31496062992125984" footer="0.19685039370078741"/>
  <pageSetup paperSize="9" scale="66"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BX44"/>
  <sheetViews>
    <sheetView showGridLines="0" zoomScaleNormal="100" workbookViewId="0">
      <pane xSplit="1" ySplit="3" topLeftCell="BH4" activePane="bottomRight" state="frozen"/>
      <selection activeCell="CI1" sqref="CI1:CM1"/>
      <selection pane="topRight" activeCell="CI1" sqref="CI1:CM1"/>
      <selection pane="bottomLeft" activeCell="CI1" sqref="CI1:CM1"/>
      <selection pane="bottomRight" activeCell="CI1" sqref="CI1:CM1"/>
    </sheetView>
  </sheetViews>
  <sheetFormatPr defaultColWidth="9.140625" defaultRowHeight="12.75" x14ac:dyDescent="0.2"/>
  <cols>
    <col min="1" max="1" width="29.42578125" style="2" customWidth="1"/>
    <col min="2" max="2" width="4.7109375" style="2" customWidth="1"/>
    <col min="3" max="6" width="8.7109375" style="2" customWidth="1"/>
    <col min="7" max="7" width="4.7109375" style="2" customWidth="1"/>
    <col min="8" max="11" width="8.7109375" style="2" customWidth="1"/>
    <col min="12" max="12" width="4.7109375" style="2" customWidth="1"/>
    <col min="13" max="16" width="8.7109375" style="2" customWidth="1"/>
    <col min="17" max="17" width="4.7109375" style="2" customWidth="1"/>
    <col min="18" max="21" width="8.7109375" style="2" customWidth="1"/>
    <col min="22" max="22" width="4.7109375" style="2" customWidth="1"/>
    <col min="23" max="26" width="8.7109375" style="2" customWidth="1"/>
    <col min="27" max="27" width="4.7109375" style="2" customWidth="1"/>
    <col min="28" max="31" width="8.7109375" style="2" customWidth="1"/>
    <col min="32" max="32" width="4.7109375" style="2" customWidth="1"/>
    <col min="33" max="36" width="8.7109375" style="2" customWidth="1"/>
    <col min="37" max="37" width="4.7109375" style="2" customWidth="1"/>
    <col min="38" max="41" width="8.7109375" style="2" customWidth="1"/>
    <col min="42" max="42" width="4.7109375" style="2" customWidth="1"/>
    <col min="43" max="46" width="8.7109375" style="2" customWidth="1"/>
    <col min="47" max="47" width="4.7109375" style="2" customWidth="1"/>
    <col min="48" max="51" width="8.7109375" style="2" customWidth="1"/>
    <col min="52" max="52" width="4.7109375" style="2" customWidth="1"/>
    <col min="53" max="56" width="8.7109375" style="2" customWidth="1"/>
    <col min="57" max="57" width="4.7109375" style="2" customWidth="1"/>
    <col min="58" max="59" width="8.7109375" style="2" customWidth="1"/>
    <col min="60" max="61" width="9.42578125" style="2" bestFit="1" customWidth="1"/>
    <col min="62" max="62" width="4.5703125" style="2" customWidth="1"/>
    <col min="63" max="66" width="9.42578125" style="2" bestFit="1" customWidth="1"/>
    <col min="67" max="67" width="4.5703125" style="2" customWidth="1"/>
    <col min="68" max="69" width="9.42578125" style="2" bestFit="1" customWidth="1"/>
    <col min="70" max="71" width="9.7109375" style="2" customWidth="1"/>
    <col min="72" max="72" width="4.5703125" style="2" customWidth="1"/>
    <col min="73" max="74" width="9.42578125" style="2" bestFit="1" customWidth="1"/>
    <col min="75" max="75" width="9.7109375" style="2" customWidth="1"/>
    <col min="76" max="76" width="9.140625" style="2" customWidth="1"/>
    <col min="77" max="16384" width="9.140625" style="2"/>
  </cols>
  <sheetData>
    <row r="1" spans="1:76" x14ac:dyDescent="0.2">
      <c r="C1" s="314"/>
      <c r="D1" s="314"/>
      <c r="E1" s="314"/>
      <c r="F1" s="314"/>
      <c r="H1" s="314"/>
      <c r="I1" s="314"/>
      <c r="J1" s="314"/>
      <c r="K1" s="314"/>
      <c r="M1" s="314"/>
      <c r="N1" s="314"/>
      <c r="O1" s="314"/>
      <c r="P1" s="314"/>
      <c r="R1" s="314"/>
      <c r="S1" s="314"/>
      <c r="T1" s="314"/>
      <c r="U1" s="314"/>
      <c r="W1" s="314"/>
      <c r="X1" s="314"/>
      <c r="Y1" s="314"/>
      <c r="Z1" s="314"/>
      <c r="AB1" s="314"/>
      <c r="AC1" s="314"/>
      <c r="AD1" s="314"/>
      <c r="AE1" s="314"/>
      <c r="AG1" s="314"/>
      <c r="AH1" s="314"/>
      <c r="AI1" s="314"/>
      <c r="AJ1" s="314"/>
      <c r="AL1" s="314"/>
      <c r="AM1" s="314"/>
      <c r="AN1" s="314"/>
      <c r="AO1" s="314"/>
      <c r="AQ1" s="314"/>
      <c r="AR1" s="314"/>
      <c r="AS1" s="314"/>
      <c r="AT1" s="314"/>
      <c r="AV1" s="314"/>
      <c r="AW1" s="314"/>
      <c r="AX1" s="314"/>
      <c r="AY1" s="314"/>
      <c r="BA1" s="314"/>
      <c r="BB1" s="314"/>
      <c r="BC1" s="314"/>
      <c r="BD1" s="314"/>
      <c r="BF1" s="314"/>
      <c r="BG1" s="314"/>
      <c r="BH1" s="314"/>
      <c r="BI1" s="314"/>
      <c r="BK1" s="312" t="s">
        <v>163</v>
      </c>
      <c r="BL1" s="312"/>
      <c r="BM1" s="312"/>
      <c r="BN1" s="312"/>
      <c r="BP1" s="312"/>
      <c r="BQ1" s="312"/>
      <c r="BR1" s="312"/>
      <c r="BS1" s="312"/>
      <c r="BU1" s="312"/>
      <c r="BV1" s="312"/>
      <c r="BW1" s="312"/>
      <c r="BX1" s="312"/>
    </row>
    <row r="2" spans="1:76" x14ac:dyDescent="0.2">
      <c r="A2" s="1" t="s">
        <v>150</v>
      </c>
      <c r="C2" s="313">
        <v>2005</v>
      </c>
      <c r="D2" s="313"/>
      <c r="E2" s="313"/>
      <c r="F2" s="313"/>
      <c r="H2" s="313">
        <v>2006</v>
      </c>
      <c r="I2" s="313"/>
      <c r="J2" s="313"/>
      <c r="K2" s="313"/>
      <c r="M2" s="313">
        <v>2007</v>
      </c>
      <c r="N2" s="313"/>
      <c r="O2" s="313"/>
      <c r="P2" s="313"/>
      <c r="R2" s="313">
        <v>2008</v>
      </c>
      <c r="S2" s="313"/>
      <c r="T2" s="313"/>
      <c r="U2" s="313"/>
      <c r="W2" s="313">
        <v>2009</v>
      </c>
      <c r="X2" s="313"/>
      <c r="Y2" s="313"/>
      <c r="Z2" s="313"/>
      <c r="AB2" s="313">
        <v>2010</v>
      </c>
      <c r="AC2" s="313"/>
      <c r="AD2" s="313"/>
      <c r="AE2" s="313"/>
      <c r="AG2" s="313">
        <v>2011</v>
      </c>
      <c r="AH2" s="313"/>
      <c r="AI2" s="313"/>
      <c r="AJ2" s="313"/>
      <c r="AL2" s="313">
        <v>2012</v>
      </c>
      <c r="AM2" s="313"/>
      <c r="AN2" s="313"/>
      <c r="AO2" s="313"/>
      <c r="AQ2" s="313">
        <v>2013</v>
      </c>
      <c r="AR2" s="313"/>
      <c r="AS2" s="313"/>
      <c r="AT2" s="313"/>
      <c r="AV2" s="313">
        <v>2014</v>
      </c>
      <c r="AW2" s="313"/>
      <c r="AX2" s="313"/>
      <c r="AY2" s="313"/>
      <c r="BA2" s="313">
        <v>2015</v>
      </c>
      <c r="BB2" s="313"/>
      <c r="BC2" s="313"/>
      <c r="BD2" s="313"/>
      <c r="BF2" s="313">
        <v>2016</v>
      </c>
      <c r="BG2" s="313"/>
      <c r="BH2" s="313"/>
      <c r="BI2" s="313"/>
      <c r="BK2" s="313">
        <v>2017</v>
      </c>
      <c r="BL2" s="313"/>
      <c r="BM2" s="313"/>
      <c r="BN2" s="313"/>
      <c r="BP2" s="313">
        <v>2018</v>
      </c>
      <c r="BQ2" s="313"/>
      <c r="BR2" s="313"/>
      <c r="BS2" s="313"/>
      <c r="BU2" s="313">
        <v>2019</v>
      </c>
      <c r="BV2" s="313"/>
      <c r="BW2" s="313"/>
      <c r="BX2" s="313"/>
    </row>
    <row r="3" spans="1:76" s="126" customFormat="1" x14ac:dyDescent="0.2">
      <c r="A3" s="125" t="s">
        <v>107</v>
      </c>
      <c r="C3" s="128" t="s">
        <v>9</v>
      </c>
      <c r="D3" s="128" t="s">
        <v>10</v>
      </c>
      <c r="E3" s="128" t="s">
        <v>11</v>
      </c>
      <c r="F3" s="128" t="s">
        <v>12</v>
      </c>
      <c r="G3" s="128"/>
      <c r="H3" s="128" t="s">
        <v>9</v>
      </c>
      <c r="I3" s="128" t="s">
        <v>10</v>
      </c>
      <c r="J3" s="128" t="s">
        <v>11</v>
      </c>
      <c r="K3" s="128" t="s">
        <v>12</v>
      </c>
      <c r="L3" s="128"/>
      <c r="M3" s="128" t="s">
        <v>9</v>
      </c>
      <c r="N3" s="128" t="s">
        <v>10</v>
      </c>
      <c r="O3" s="128" t="s">
        <v>11</v>
      </c>
      <c r="P3" s="128" t="s">
        <v>12</v>
      </c>
      <c r="Q3" s="128"/>
      <c r="R3" s="128" t="s">
        <v>9</v>
      </c>
      <c r="S3" s="128" t="s">
        <v>10</v>
      </c>
      <c r="T3" s="128" t="s">
        <v>11</v>
      </c>
      <c r="U3" s="128" t="s">
        <v>12</v>
      </c>
      <c r="V3" s="128"/>
      <c r="W3" s="128" t="s">
        <v>9</v>
      </c>
      <c r="X3" s="128" t="s">
        <v>10</v>
      </c>
      <c r="Y3" s="128" t="s">
        <v>11</v>
      </c>
      <c r="Z3" s="128" t="s">
        <v>12</v>
      </c>
      <c r="AA3" s="128"/>
      <c r="AB3" s="128" t="s">
        <v>9</v>
      </c>
      <c r="AC3" s="128" t="s">
        <v>10</v>
      </c>
      <c r="AD3" s="128" t="s">
        <v>11</v>
      </c>
      <c r="AE3" s="128" t="s">
        <v>12</v>
      </c>
      <c r="AF3" s="128"/>
      <c r="AG3" s="128" t="s">
        <v>9</v>
      </c>
      <c r="AH3" s="128" t="s">
        <v>10</v>
      </c>
      <c r="AI3" s="128" t="s">
        <v>11</v>
      </c>
      <c r="AJ3" s="128" t="s">
        <v>12</v>
      </c>
      <c r="AK3" s="128"/>
      <c r="AL3" s="128" t="s">
        <v>9</v>
      </c>
      <c r="AM3" s="128" t="s">
        <v>10</v>
      </c>
      <c r="AN3" s="128" t="s">
        <v>11</v>
      </c>
      <c r="AO3" s="128" t="s">
        <v>12</v>
      </c>
      <c r="AP3" s="128"/>
      <c r="AQ3" s="128" t="s">
        <v>9</v>
      </c>
      <c r="AR3" s="128" t="s">
        <v>10</v>
      </c>
      <c r="AS3" s="128" t="s">
        <v>11</v>
      </c>
      <c r="AT3" s="128" t="s">
        <v>12</v>
      </c>
      <c r="AU3" s="128"/>
      <c r="AV3" s="128" t="s">
        <v>9</v>
      </c>
      <c r="AW3" s="128" t="s">
        <v>10</v>
      </c>
      <c r="AX3" s="128" t="s">
        <v>11</v>
      </c>
      <c r="AY3" s="128" t="s">
        <v>12</v>
      </c>
      <c r="AZ3" s="128"/>
      <c r="BA3" s="128" t="s">
        <v>9</v>
      </c>
      <c r="BB3" s="128" t="s">
        <v>10</v>
      </c>
      <c r="BC3" s="128" t="s">
        <v>11</v>
      </c>
      <c r="BD3" s="128" t="s">
        <v>12</v>
      </c>
      <c r="BE3" s="129"/>
      <c r="BF3" s="128" t="s">
        <v>9</v>
      </c>
      <c r="BG3" s="128" t="s">
        <v>10</v>
      </c>
      <c r="BH3" s="128" t="s">
        <v>11</v>
      </c>
      <c r="BI3" s="128" t="s">
        <v>12</v>
      </c>
      <c r="BJ3" s="129"/>
      <c r="BK3" s="128" t="s">
        <v>9</v>
      </c>
      <c r="BL3" s="128" t="s">
        <v>10</v>
      </c>
      <c r="BM3" s="128" t="s">
        <v>11</v>
      </c>
      <c r="BN3" s="128" t="s">
        <v>12</v>
      </c>
      <c r="BP3" s="128" t="s">
        <v>9</v>
      </c>
      <c r="BQ3" s="128" t="s">
        <v>10</v>
      </c>
      <c r="BR3" s="128" t="s">
        <v>11</v>
      </c>
      <c r="BS3" s="128" t="s">
        <v>12</v>
      </c>
      <c r="BU3" s="128" t="s">
        <v>9</v>
      </c>
      <c r="BV3" s="128" t="s">
        <v>10</v>
      </c>
      <c r="BW3" s="128" t="s">
        <v>11</v>
      </c>
      <c r="BX3" s="128" t="s">
        <v>12</v>
      </c>
    </row>
    <row r="4" spans="1:76" x14ac:dyDescent="0.2">
      <c r="D4" s="42"/>
      <c r="F4" s="42"/>
      <c r="I4" s="42"/>
      <c r="K4" s="42"/>
      <c r="N4" s="42"/>
      <c r="P4" s="42"/>
      <c r="S4" s="42"/>
      <c r="U4" s="42"/>
      <c r="X4" s="42"/>
      <c r="Z4" s="42"/>
      <c r="AC4" s="42"/>
      <c r="AE4" s="42"/>
      <c r="AH4" s="42"/>
      <c r="AJ4" s="42"/>
      <c r="AM4" s="42"/>
      <c r="AO4" s="42"/>
      <c r="AR4" s="42"/>
      <c r="AT4" s="42"/>
      <c r="AW4" s="42"/>
      <c r="AY4" s="42"/>
      <c r="BB4" s="42"/>
      <c r="BD4" s="42"/>
      <c r="BG4" s="42"/>
      <c r="BI4" s="42"/>
      <c r="BL4" s="42"/>
      <c r="BN4" s="42"/>
      <c r="BQ4" s="42"/>
      <c r="BS4" s="42"/>
      <c r="BV4" s="42"/>
      <c r="BX4" s="42"/>
    </row>
    <row r="5" spans="1:76" x14ac:dyDescent="0.2">
      <c r="A5" s="2" t="str">
        <f>' Financial Highlights'!A42</f>
        <v>Number of DKK 20 shares ('000)</v>
      </c>
      <c r="C5" s="4">
        <v>24500</v>
      </c>
      <c r="D5" s="32">
        <v>24500</v>
      </c>
      <c r="E5" s="4">
        <v>24500</v>
      </c>
      <c r="F5" s="32">
        <v>24500</v>
      </c>
      <c r="G5" s="4"/>
      <c r="H5" s="4">
        <v>24500</v>
      </c>
      <c r="I5" s="32">
        <v>23500</v>
      </c>
      <c r="J5" s="4">
        <v>23500</v>
      </c>
      <c r="K5" s="32">
        <v>23500</v>
      </c>
      <c r="L5" s="4"/>
      <c r="M5" s="4">
        <v>23500</v>
      </c>
      <c r="N5" s="32">
        <v>23638</v>
      </c>
      <c r="O5" s="4">
        <v>23638</v>
      </c>
      <c r="P5" s="32">
        <v>23638</v>
      </c>
      <c r="Q5" s="4"/>
      <c r="R5" s="4">
        <v>23655</v>
      </c>
      <c r="S5" s="32">
        <v>23718</v>
      </c>
      <c r="T5" s="4">
        <v>23718</v>
      </c>
      <c r="U5" s="32">
        <v>23718</v>
      </c>
      <c r="V5" s="4"/>
      <c r="W5" s="4">
        <v>23718</v>
      </c>
      <c r="X5" s="32">
        <v>23718</v>
      </c>
      <c r="Y5" s="4">
        <v>23718</v>
      </c>
      <c r="Z5" s="32">
        <v>23718</v>
      </c>
      <c r="AB5" s="4">
        <v>23722</v>
      </c>
      <c r="AC5" s="32">
        <v>23738</v>
      </c>
      <c r="AD5" s="4">
        <v>23738</v>
      </c>
      <c r="AE5" s="32">
        <v>23738</v>
      </c>
      <c r="AG5" s="4">
        <v>23737.978999999999</v>
      </c>
      <c r="AH5" s="32">
        <v>23737.978999999999</v>
      </c>
      <c r="AI5" s="4">
        <v>23737.978999999999</v>
      </c>
      <c r="AJ5" s="32">
        <v>23737.978999999999</v>
      </c>
      <c r="AL5" s="4">
        <v>23888</v>
      </c>
      <c r="AM5" s="32">
        <v>23888</v>
      </c>
      <c r="AN5" s="4">
        <v>23888</v>
      </c>
      <c r="AO5" s="32">
        <v>23888</v>
      </c>
      <c r="AQ5" s="4">
        <v>23930</v>
      </c>
      <c r="AR5" s="32">
        <v>23930</v>
      </c>
      <c r="AS5" s="4">
        <v>23930</v>
      </c>
      <c r="AT5" s="32">
        <v>23930</v>
      </c>
      <c r="AV5" s="4">
        <v>23934</v>
      </c>
      <c r="AW5" s="32">
        <v>23934</v>
      </c>
      <c r="AX5" s="4">
        <v>23934</v>
      </c>
      <c r="AY5" s="32">
        <v>23934</v>
      </c>
      <c r="BA5" s="4">
        <v>24186</v>
      </c>
      <c r="BB5" s="32">
        <v>24186</v>
      </c>
      <c r="BC5" s="4">
        <v>24186</v>
      </c>
      <c r="BD5" s="32">
        <v>24186</v>
      </c>
      <c r="BF5" s="4">
        <v>24356</v>
      </c>
      <c r="BG5" s="32">
        <v>24356</v>
      </c>
      <c r="BH5" s="4">
        <v>24398</v>
      </c>
      <c r="BI5" s="32">
        <v>26835</v>
      </c>
      <c r="BK5" s="4">
        <v>27071</v>
      </c>
      <c r="BL5" s="32">
        <v>27112</v>
      </c>
      <c r="BM5" s="4">
        <v>27126</v>
      </c>
      <c r="BN5" s="32">
        <v>27126</v>
      </c>
      <c r="BP5" s="4">
        <v>27126</v>
      </c>
      <c r="BQ5" s="32">
        <v>27126</v>
      </c>
      <c r="BR5" s="4">
        <v>27126</v>
      </c>
      <c r="BS5" s="32">
        <v>27126</v>
      </c>
      <c r="BU5" s="4">
        <v>27126</v>
      </c>
      <c r="BV5" s="32">
        <v>27126</v>
      </c>
      <c r="BW5" s="4">
        <v>27126</v>
      </c>
      <c r="BX5" s="32">
        <v>27260</v>
      </c>
    </row>
    <row r="6" spans="1:76" x14ac:dyDescent="0.2">
      <c r="A6" s="2" t="s">
        <v>33</v>
      </c>
      <c r="C6" s="4">
        <v>0</v>
      </c>
      <c r="D6" s="32">
        <v>0</v>
      </c>
      <c r="E6" s="4">
        <v>1105</v>
      </c>
      <c r="F6" s="32">
        <v>1105</v>
      </c>
      <c r="G6" s="4"/>
      <c r="H6" s="4">
        <v>1105</v>
      </c>
      <c r="I6" s="32">
        <v>78</v>
      </c>
      <c r="J6" s="4">
        <v>78</v>
      </c>
      <c r="K6" s="32">
        <v>78</v>
      </c>
      <c r="L6" s="4"/>
      <c r="M6" s="4">
        <v>78</v>
      </c>
      <c r="N6" s="32">
        <v>78</v>
      </c>
      <c r="O6" s="4">
        <v>78</v>
      </c>
      <c r="P6" s="32">
        <v>78</v>
      </c>
      <c r="Q6" s="4"/>
      <c r="R6" s="4">
        <v>78</v>
      </c>
      <c r="S6" s="32">
        <v>78</v>
      </c>
      <c r="T6" s="4">
        <v>78</v>
      </c>
      <c r="U6" s="32">
        <v>78</v>
      </c>
      <c r="V6" s="4"/>
      <c r="W6" s="4">
        <v>78</v>
      </c>
      <c r="X6" s="32">
        <v>78</v>
      </c>
      <c r="Y6" s="4">
        <v>78</v>
      </c>
      <c r="Z6" s="32">
        <v>78</v>
      </c>
      <c r="AB6" s="4">
        <v>78</v>
      </c>
      <c r="AC6" s="32">
        <v>77</v>
      </c>
      <c r="AD6" s="4">
        <v>77</v>
      </c>
      <c r="AE6" s="32">
        <v>77</v>
      </c>
      <c r="AG6" s="4">
        <v>77.424999999999997</v>
      </c>
      <c r="AH6" s="32">
        <v>77.424999999999997</v>
      </c>
      <c r="AI6" s="4">
        <v>77.424999999999997</v>
      </c>
      <c r="AJ6" s="32">
        <v>77.424999999999997</v>
      </c>
      <c r="AL6" s="4">
        <v>77.424999999999997</v>
      </c>
      <c r="AM6" s="32">
        <v>77</v>
      </c>
      <c r="AN6" s="4">
        <v>77</v>
      </c>
      <c r="AO6" s="32">
        <v>77</v>
      </c>
      <c r="AQ6" s="4">
        <v>77</v>
      </c>
      <c r="AR6" s="32">
        <v>77</v>
      </c>
      <c r="AS6" s="4">
        <v>77</v>
      </c>
      <c r="AT6" s="32">
        <v>77</v>
      </c>
      <c r="AV6" s="4">
        <v>77</v>
      </c>
      <c r="AW6" s="32">
        <v>77</v>
      </c>
      <c r="AX6" s="4">
        <v>77</v>
      </c>
      <c r="AY6" s="32">
        <v>77</v>
      </c>
      <c r="BA6" s="4">
        <v>77</v>
      </c>
      <c r="BB6" s="32">
        <v>77</v>
      </c>
      <c r="BC6" s="4">
        <v>77</v>
      </c>
      <c r="BD6" s="32">
        <v>77</v>
      </c>
      <c r="BF6" s="4">
        <v>176</v>
      </c>
      <c r="BG6" s="32">
        <v>589</v>
      </c>
      <c r="BH6" s="4">
        <v>948</v>
      </c>
      <c r="BI6" s="32">
        <v>0</v>
      </c>
      <c r="BK6" s="4">
        <v>0</v>
      </c>
      <c r="BL6" s="32">
        <v>0</v>
      </c>
      <c r="BM6" s="4">
        <v>0</v>
      </c>
      <c r="BN6" s="32">
        <v>0</v>
      </c>
      <c r="BP6" s="4">
        <v>0</v>
      </c>
      <c r="BQ6" s="32">
        <v>0</v>
      </c>
      <c r="BR6" s="4">
        <v>0</v>
      </c>
      <c r="BS6" s="32">
        <v>0</v>
      </c>
      <c r="BU6" s="4">
        <v>0</v>
      </c>
      <c r="BV6" s="32">
        <v>0</v>
      </c>
      <c r="BW6" s="4"/>
      <c r="BX6" s="32"/>
    </row>
    <row r="7" spans="1:76" s="44" customFormat="1" x14ac:dyDescent="0.2">
      <c r="A7" s="44" t="s">
        <v>34</v>
      </c>
      <c r="C7" s="45">
        <f>C5-C6</f>
        <v>24500</v>
      </c>
      <c r="D7" s="46">
        <f>D5-D6</f>
        <v>24500</v>
      </c>
      <c r="E7" s="45">
        <f>E5-E6</f>
        <v>23395</v>
      </c>
      <c r="F7" s="46">
        <f>F5-F6</f>
        <v>23395</v>
      </c>
      <c r="G7" s="45"/>
      <c r="H7" s="45">
        <f>H5-H6</f>
        <v>23395</v>
      </c>
      <c r="I7" s="46">
        <f>I5-I6</f>
        <v>23422</v>
      </c>
      <c r="J7" s="45">
        <f>J5-J6</f>
        <v>23422</v>
      </c>
      <c r="K7" s="46">
        <f>K5-K6</f>
        <v>23422</v>
      </c>
      <c r="L7" s="45"/>
      <c r="M7" s="45">
        <f>M5-M6</f>
        <v>23422</v>
      </c>
      <c r="N7" s="46">
        <f>N5-N6</f>
        <v>23560</v>
      </c>
      <c r="O7" s="45">
        <f>O5-O6</f>
        <v>23560</v>
      </c>
      <c r="P7" s="46">
        <f>P5-P6</f>
        <v>23560</v>
      </c>
      <c r="Q7" s="45"/>
      <c r="R7" s="45">
        <f>R5-R6</f>
        <v>23577</v>
      </c>
      <c r="S7" s="46">
        <f>S5-S6</f>
        <v>23640</v>
      </c>
      <c r="T7" s="45">
        <f>T5-T6</f>
        <v>23640</v>
      </c>
      <c r="U7" s="46">
        <f>U5-U6</f>
        <v>23640</v>
      </c>
      <c r="V7" s="45"/>
      <c r="W7" s="45">
        <f>W5-W6</f>
        <v>23640</v>
      </c>
      <c r="X7" s="46">
        <f>X5-X6</f>
        <v>23640</v>
      </c>
      <c r="Y7" s="45">
        <f>Y5-Y6</f>
        <v>23640</v>
      </c>
      <c r="Z7" s="46">
        <f>Z5-Z6</f>
        <v>23640</v>
      </c>
      <c r="AB7" s="45">
        <f>AB5-AB6</f>
        <v>23644</v>
      </c>
      <c r="AC7" s="46">
        <f>AC5-AC6</f>
        <v>23661</v>
      </c>
      <c r="AD7" s="45">
        <f>AD5-AD6</f>
        <v>23661</v>
      </c>
      <c r="AE7" s="46">
        <f>AE5-AE6</f>
        <v>23661</v>
      </c>
      <c r="AG7" s="45">
        <f>AG5-AG6</f>
        <v>23660.554</v>
      </c>
      <c r="AH7" s="46">
        <f>AH5-AH6</f>
        <v>23660.554</v>
      </c>
      <c r="AI7" s="45">
        <f>AI5-AI6</f>
        <v>23660.554</v>
      </c>
      <c r="AJ7" s="46">
        <f>AJ5-AJ6</f>
        <v>23660.554</v>
      </c>
      <c r="AL7" s="45">
        <f>AL5-AL6</f>
        <v>23810.575000000001</v>
      </c>
      <c r="AM7" s="46">
        <f>AM5-AM6</f>
        <v>23811</v>
      </c>
      <c r="AN7" s="45">
        <f>AN5-AN6</f>
        <v>23811</v>
      </c>
      <c r="AO7" s="46">
        <f>AO5-AO6</f>
        <v>23811</v>
      </c>
      <c r="AQ7" s="45">
        <f>AQ5-AQ6</f>
        <v>23853</v>
      </c>
      <c r="AR7" s="46">
        <f>AR5-AR6</f>
        <v>23853</v>
      </c>
      <c r="AS7" s="45">
        <f>AS5-AS6</f>
        <v>23853</v>
      </c>
      <c r="AT7" s="46">
        <f>AT5-AT6</f>
        <v>23853</v>
      </c>
      <c r="AV7" s="45">
        <f>AV5-AV6</f>
        <v>23857</v>
      </c>
      <c r="AW7" s="46">
        <f>AW5-AW6</f>
        <v>23857</v>
      </c>
      <c r="AX7" s="45">
        <f>AX5-AX6</f>
        <v>23857</v>
      </c>
      <c r="AY7" s="46">
        <f>AY5-AY6</f>
        <v>23857</v>
      </c>
      <c r="BA7" s="45">
        <f>BA5-BA6</f>
        <v>24109</v>
      </c>
      <c r="BB7" s="46">
        <f>BB5-BB6</f>
        <v>24109</v>
      </c>
      <c r="BC7" s="45">
        <f>BC5-BC6</f>
        <v>24109</v>
      </c>
      <c r="BD7" s="46">
        <f>BD5-BD6</f>
        <v>24109</v>
      </c>
      <c r="BF7" s="45">
        <f>BF5-BF6</f>
        <v>24180</v>
      </c>
      <c r="BG7" s="46">
        <f>BG5-BG6</f>
        <v>23767</v>
      </c>
      <c r="BH7" s="45">
        <f>BH5-BH6</f>
        <v>23450</v>
      </c>
      <c r="BI7" s="46">
        <f>BI5-BI6</f>
        <v>26835</v>
      </c>
      <c r="BK7" s="45">
        <f>BK5-BK6</f>
        <v>27071</v>
      </c>
      <c r="BL7" s="46">
        <f>BL5-BL6</f>
        <v>27112</v>
      </c>
      <c r="BM7" s="45">
        <f>BM5-BM6</f>
        <v>27126</v>
      </c>
      <c r="BN7" s="46">
        <f>BN5-BN6</f>
        <v>27126</v>
      </c>
      <c r="BP7" s="45">
        <f>BP5-BP6</f>
        <v>27126</v>
      </c>
      <c r="BQ7" s="46">
        <f>BQ5-BQ6</f>
        <v>27126</v>
      </c>
      <c r="BR7" s="45">
        <f>BR5-BR6</f>
        <v>27126</v>
      </c>
      <c r="BS7" s="45">
        <f>BS5-BS6</f>
        <v>27126</v>
      </c>
      <c r="BU7" s="45">
        <f>BU5-BU6</f>
        <v>27126</v>
      </c>
      <c r="BV7" s="46">
        <f>BV5-BV6</f>
        <v>27126</v>
      </c>
      <c r="BW7" s="45">
        <f>BW5-BW6</f>
        <v>27126</v>
      </c>
      <c r="BX7" s="46">
        <f>BX5-BX6</f>
        <v>27260</v>
      </c>
    </row>
    <row r="8" spans="1:76" s="47" customFormat="1" x14ac:dyDescent="0.2">
      <c r="C8" s="48"/>
      <c r="D8" s="57"/>
      <c r="E8" s="48"/>
      <c r="F8" s="57"/>
      <c r="G8" s="48"/>
      <c r="H8" s="48"/>
      <c r="I8" s="57"/>
      <c r="J8" s="48"/>
      <c r="K8" s="57"/>
      <c r="L8" s="48"/>
      <c r="M8" s="48"/>
      <c r="N8" s="57"/>
      <c r="O8" s="48"/>
      <c r="P8" s="57"/>
      <c r="Q8" s="48"/>
      <c r="R8" s="48"/>
      <c r="S8" s="57"/>
      <c r="T8" s="48"/>
      <c r="U8" s="57"/>
      <c r="V8" s="48"/>
      <c r="W8" s="48"/>
      <c r="X8" s="57"/>
      <c r="Y8" s="48"/>
      <c r="Z8" s="57"/>
      <c r="AB8" s="48"/>
      <c r="AC8" s="57"/>
      <c r="AD8" s="48"/>
      <c r="AE8" s="57"/>
      <c r="AG8" s="48"/>
      <c r="AH8" s="57"/>
      <c r="AI8" s="48"/>
      <c r="AJ8" s="57"/>
      <c r="AL8" s="48"/>
      <c r="AM8" s="57"/>
      <c r="AN8" s="48"/>
      <c r="AO8" s="57"/>
      <c r="AQ8" s="48"/>
      <c r="AR8" s="57"/>
      <c r="AS8" s="48"/>
      <c r="AT8" s="57"/>
      <c r="AV8" s="48"/>
      <c r="AW8" s="57"/>
      <c r="AX8" s="48"/>
      <c r="AY8" s="57"/>
      <c r="BA8" s="48"/>
      <c r="BB8" s="57"/>
      <c r="BC8" s="48"/>
      <c r="BD8" s="57"/>
      <c r="BF8" s="48"/>
      <c r="BG8" s="57"/>
      <c r="BH8" s="48"/>
      <c r="BI8" s="57"/>
      <c r="BK8" s="48"/>
      <c r="BL8" s="57"/>
      <c r="BM8" s="48"/>
      <c r="BN8" s="57"/>
      <c r="BP8" s="48"/>
      <c r="BQ8" s="57"/>
      <c r="BR8" s="48"/>
      <c r="BS8" s="57"/>
      <c r="BU8" s="48"/>
      <c r="BV8" s="57"/>
      <c r="BW8" s="48"/>
      <c r="BX8" s="57"/>
    </row>
    <row r="9" spans="1:76" x14ac:dyDescent="0.2">
      <c r="A9" s="2" t="str">
        <f>' Financial Highlights'!A47</f>
        <v>Market price, DKK, per share</v>
      </c>
      <c r="C9" s="4">
        <f>' Financial Highlights'!C47</f>
        <v>198</v>
      </c>
      <c r="D9" s="32">
        <f>' Financial Highlights'!D47</f>
        <v>229</v>
      </c>
      <c r="E9" s="4">
        <f>' Financial Highlights'!E47</f>
        <v>262</v>
      </c>
      <c r="F9" s="32">
        <f>' Financial Highlights'!F47</f>
        <v>289</v>
      </c>
      <c r="G9" s="4"/>
      <c r="H9" s="4">
        <f>' Financial Highlights'!I47</f>
        <v>389</v>
      </c>
      <c r="I9" s="32">
        <v>366</v>
      </c>
      <c r="J9" s="4">
        <v>442</v>
      </c>
      <c r="K9" s="32">
        <v>503</v>
      </c>
      <c r="L9" s="4"/>
      <c r="M9" s="4">
        <v>448</v>
      </c>
      <c r="N9" s="32">
        <v>549</v>
      </c>
      <c r="O9" s="4">
        <v>586</v>
      </c>
      <c r="P9" s="32">
        <v>459</v>
      </c>
      <c r="Q9" s="4"/>
      <c r="R9" s="4">
        <v>340</v>
      </c>
      <c r="S9" s="32">
        <v>383</v>
      </c>
      <c r="T9" s="4">
        <v>245</v>
      </c>
      <c r="U9" s="32">
        <v>106</v>
      </c>
      <c r="V9" s="4"/>
      <c r="W9" s="4">
        <v>97</v>
      </c>
      <c r="X9" s="32">
        <v>178.75</v>
      </c>
      <c r="Y9" s="4">
        <v>297</v>
      </c>
      <c r="Z9" s="32">
        <v>291</v>
      </c>
      <c r="AB9" s="4">
        <v>305</v>
      </c>
      <c r="AC9" s="32">
        <v>274</v>
      </c>
      <c r="AD9" s="4">
        <v>270</v>
      </c>
      <c r="AE9" s="32">
        <v>297</v>
      </c>
      <c r="AG9" s="4">
        <v>309</v>
      </c>
      <c r="AH9" s="32">
        <v>329</v>
      </c>
      <c r="AI9" s="4">
        <v>202</v>
      </c>
      <c r="AJ9" s="32">
        <v>191</v>
      </c>
      <c r="AL9" s="4">
        <v>254</v>
      </c>
      <c r="AM9" s="32">
        <v>190</v>
      </c>
      <c r="AN9" s="4">
        <v>202</v>
      </c>
      <c r="AO9" s="32">
        <v>204</v>
      </c>
      <c r="AQ9" s="4">
        <v>216</v>
      </c>
      <c r="AR9" s="32">
        <v>208</v>
      </c>
      <c r="AS9" s="4">
        <v>274</v>
      </c>
      <c r="AT9" s="32">
        <v>268</v>
      </c>
      <c r="AV9" s="4">
        <v>314</v>
      </c>
      <c r="AW9" s="32">
        <v>374</v>
      </c>
      <c r="AX9" s="4">
        <v>325</v>
      </c>
      <c r="AY9" s="32">
        <v>332</v>
      </c>
      <c r="BA9" s="4">
        <v>445</v>
      </c>
      <c r="BB9" s="32">
        <v>384</v>
      </c>
      <c r="BC9" s="4">
        <v>352</v>
      </c>
      <c r="BD9" s="32">
        <v>357</v>
      </c>
      <c r="BF9" s="4">
        <v>378</v>
      </c>
      <c r="BG9" s="32">
        <v>337</v>
      </c>
      <c r="BH9" s="4">
        <v>427</v>
      </c>
      <c r="BI9" s="32">
        <v>499</v>
      </c>
      <c r="BK9" s="4">
        <v>512</v>
      </c>
      <c r="BL9" s="32">
        <v>522</v>
      </c>
      <c r="BM9" s="4">
        <v>539</v>
      </c>
      <c r="BN9" s="32">
        <v>283</v>
      </c>
      <c r="BP9" s="4">
        <v>197</v>
      </c>
      <c r="BQ9" s="32">
        <v>175</v>
      </c>
      <c r="BR9" s="4">
        <v>167</v>
      </c>
      <c r="BS9" s="32">
        <v>89</v>
      </c>
      <c r="BU9" s="4">
        <v>118</v>
      </c>
      <c r="BV9" s="32">
        <v>101</v>
      </c>
      <c r="BW9" s="4">
        <v>133</v>
      </c>
      <c r="BX9" s="32">
        <v>161</v>
      </c>
    </row>
    <row r="10" spans="1:76" x14ac:dyDescent="0.2">
      <c r="C10" s="4"/>
      <c r="D10" s="32"/>
      <c r="E10" s="4"/>
      <c r="F10" s="32"/>
      <c r="G10" s="4"/>
      <c r="H10" s="4"/>
      <c r="I10" s="32"/>
      <c r="J10" s="4"/>
      <c r="K10" s="32"/>
      <c r="L10" s="4"/>
      <c r="M10" s="4"/>
      <c r="N10" s="32"/>
      <c r="O10" s="4"/>
      <c r="P10" s="32"/>
      <c r="Q10" s="4"/>
      <c r="R10" s="4"/>
      <c r="S10" s="32"/>
      <c r="T10" s="4"/>
      <c r="U10" s="32"/>
      <c r="V10" s="4"/>
      <c r="W10" s="4"/>
      <c r="X10" s="32"/>
      <c r="Y10" s="4"/>
      <c r="Z10" s="32"/>
      <c r="AB10" s="4"/>
      <c r="AC10" s="32"/>
      <c r="AD10" s="4"/>
      <c r="AE10" s="32"/>
      <c r="AG10" s="4"/>
      <c r="AH10" s="32"/>
      <c r="AI10" s="4"/>
      <c r="AJ10" s="32"/>
      <c r="AL10" s="4"/>
      <c r="AM10" s="32"/>
      <c r="AN10" s="4"/>
      <c r="AO10" s="32"/>
      <c r="AQ10" s="4"/>
      <c r="AR10" s="32"/>
      <c r="AS10" s="4"/>
      <c r="AT10" s="32"/>
      <c r="AV10" s="4"/>
      <c r="AW10" s="32"/>
      <c r="AX10" s="4"/>
      <c r="AY10" s="32"/>
      <c r="BA10" s="4"/>
      <c r="BB10" s="32"/>
      <c r="BC10" s="4"/>
      <c r="BD10" s="32"/>
      <c r="BF10" s="4"/>
      <c r="BG10" s="32"/>
      <c r="BH10" s="4"/>
      <c r="BI10" s="32"/>
      <c r="BK10" s="4"/>
      <c r="BL10" s="32"/>
      <c r="BM10" s="4"/>
      <c r="BN10" s="32"/>
      <c r="BP10" s="4"/>
      <c r="BQ10" s="32"/>
      <c r="BR10" s="4"/>
      <c r="BS10" s="32"/>
      <c r="BU10" s="4"/>
      <c r="BV10" s="32"/>
      <c r="BW10" s="4"/>
      <c r="BX10" s="32"/>
    </row>
    <row r="11" spans="1:76" x14ac:dyDescent="0.2">
      <c r="A11" s="2" t="s">
        <v>103</v>
      </c>
      <c r="C11" s="24">
        <f>(C7*C9/1000)/7.45</f>
        <v>651.14093959731542</v>
      </c>
      <c r="D11" s="69">
        <f>(D7*D9/1000)/7.45</f>
        <v>753.08724832214762</v>
      </c>
      <c r="E11" s="24">
        <f>(E7*E9/1000)/7.45</f>
        <v>822.7503355704697</v>
      </c>
      <c r="F11" s="69">
        <f>(F7*F9/1000)/7.45</f>
        <v>907.53758389261736</v>
      </c>
      <c r="G11" s="24"/>
      <c r="H11" s="24">
        <f>(H7*H9/1000)/7.45</f>
        <v>1221.5644295302013</v>
      </c>
      <c r="I11" s="69">
        <f>(I7*I9/1000)/7.45</f>
        <v>1150.664697986577</v>
      </c>
      <c r="J11" s="24">
        <f>(J7*J9/1000)/7.45</f>
        <v>1389.6005369127515</v>
      </c>
      <c r="K11" s="69">
        <f>(K7*K9/1000)/7.45</f>
        <v>1581.3779865771812</v>
      </c>
      <c r="L11" s="24"/>
      <c r="M11" s="24">
        <f>(M7*M9/1000)/7.45</f>
        <v>1408.4638926174498</v>
      </c>
      <c r="N11" s="69">
        <f>(N7*N9/1000)/7.45</f>
        <v>1736.1664429530201</v>
      </c>
      <c r="O11" s="24">
        <f>(O7*O9/1000)/7.45</f>
        <v>1853.1758389261745</v>
      </c>
      <c r="P11" s="69">
        <f>(P7*P9/1000)/7.45</f>
        <v>1451.5489932885907</v>
      </c>
      <c r="Q11" s="24"/>
      <c r="R11" s="24">
        <f>(R7*R9/1000)/7.45</f>
        <v>1075.9973154362417</v>
      </c>
      <c r="S11" s="69">
        <f>(S7*S9/1000)/7.45</f>
        <v>1215.3181208053693</v>
      </c>
      <c r="T11" s="24">
        <f>(T7*T9/1000)/7.45</f>
        <v>777.42281879194627</v>
      </c>
      <c r="U11" s="69">
        <f>(U7*U9/1000)/7.45</f>
        <v>336.35436241610739</v>
      </c>
      <c r="V11" s="24"/>
      <c r="W11" s="24">
        <f>(W7*W9/1000)/7.45</f>
        <v>307.7959731543624</v>
      </c>
      <c r="X11" s="69">
        <f>(X7*X9/1000)/7.45</f>
        <v>567.20134228187908</v>
      </c>
      <c r="Y11" s="24">
        <f>(Y7*Y9/1000)/7.45</f>
        <v>942.42684563758382</v>
      </c>
      <c r="Z11" s="69">
        <f>(Z7*Z9/1000)/7.45</f>
        <v>923.3879194630872</v>
      </c>
      <c r="AA11" s="24"/>
      <c r="AB11" s="24">
        <f>(AB7*AB9/1000)/7.45</f>
        <v>967.97583892617445</v>
      </c>
      <c r="AC11" s="69">
        <f>(AC7*AC9/1000)/7.45</f>
        <v>870.21664429530199</v>
      </c>
      <c r="AD11" s="24">
        <f>(AD7*AD9/1000)/7.45</f>
        <v>857.51275167785241</v>
      </c>
      <c r="AE11" s="69">
        <f>(AE7*AE9/1000)/7.45</f>
        <v>943.26402684563755</v>
      </c>
      <c r="AF11" s="24"/>
      <c r="AG11" s="24">
        <f>(AG7*AG9/1000)/7.45</f>
        <v>981.35720617449658</v>
      </c>
      <c r="AH11" s="69">
        <f>(AH7*AH9/1000)/7.45</f>
        <v>1044.8754719463086</v>
      </c>
      <c r="AI11" s="24">
        <f>(AI7*AI9/1000)/7.45</f>
        <v>641.53448429530192</v>
      </c>
      <c r="AJ11" s="69">
        <f>(AJ7*AJ9/1000)/7.45</f>
        <v>606.5994381208053</v>
      </c>
      <c r="AK11" s="24"/>
      <c r="AL11" s="24">
        <f>(AL7*AL9/1000)/7.45</f>
        <v>811.79678523489929</v>
      </c>
      <c r="AM11" s="69">
        <f>(AM7*AM9/1000)/7.45</f>
        <v>607.26040268456381</v>
      </c>
      <c r="AN11" s="24">
        <f>(AN7*AN9/1000)/7.45</f>
        <v>645.61369127516775</v>
      </c>
      <c r="AO11" s="69">
        <f>(AO7*AO9/1000)/7.45</f>
        <v>652.00590604026854</v>
      </c>
      <c r="AP11" s="24"/>
      <c r="AQ11" s="24">
        <f>(AQ7*AQ9/1000)/7.45</f>
        <v>691.57691275167781</v>
      </c>
      <c r="AR11" s="69">
        <f>(AR7*AR9/1000)/7.45</f>
        <v>665.96295302013425</v>
      </c>
      <c r="AS11" s="24">
        <f>(AS7*AS9/1000)/7.45</f>
        <v>877.2781208053691</v>
      </c>
      <c r="AT11" s="69">
        <f>(AT7*AT9/1000)/7.45</f>
        <v>858.06765100671146</v>
      </c>
      <c r="AU11" s="24"/>
      <c r="AV11" s="24">
        <f>(AV7*AV9/1000)/7.45</f>
        <v>1005.516510067114</v>
      </c>
      <c r="AW11" s="69">
        <f>(AW7*AW9/1000)/7.45</f>
        <v>1197.653422818792</v>
      </c>
      <c r="AX11" s="24">
        <f>(AX7*AX9/1000)/7.45</f>
        <v>1040.7416107382548</v>
      </c>
      <c r="AY11" s="69">
        <f>(AY7*AY9/1000)/7.45</f>
        <v>1063.1575838926174</v>
      </c>
      <c r="AZ11" s="24"/>
      <c r="BA11" s="24">
        <f>(BA7*BA9/1000)/7.45</f>
        <v>1440.0677852348992</v>
      </c>
      <c r="BB11" s="69">
        <f>(BB7*BB9/1000)/7.45</f>
        <v>1242.6652348993289</v>
      </c>
      <c r="BC11" s="24">
        <f>(BC7*BC9/1000)/7.45</f>
        <v>1139.1097986577181</v>
      </c>
      <c r="BD11" s="69">
        <f>(BD7*BD9/1000)/7.45</f>
        <v>1155.2903355704698</v>
      </c>
      <c r="BE11" s="24"/>
      <c r="BF11" s="24">
        <f>(BF7*BF9/1000)/7.45</f>
        <v>1226.8510067114096</v>
      </c>
      <c r="BG11" s="69">
        <f>(BG7*BG9/1000)/7.45</f>
        <v>1075.0978523489932</v>
      </c>
      <c r="BH11" s="24">
        <f>(BH7*BH9/1000)/7.45</f>
        <v>1344.0469798657716</v>
      </c>
      <c r="BI11" s="69">
        <f>(BI7*BI9/1000)/7.45</f>
        <v>1797.4046979865773</v>
      </c>
      <c r="BJ11" s="24"/>
      <c r="BK11" s="24">
        <f>(BK7*BK9/1000)/7.45</f>
        <v>1860.449932885906</v>
      </c>
      <c r="BL11" s="69">
        <f>(BL7*BL9/1000)/7.45</f>
        <v>1899.6595973154363</v>
      </c>
      <c r="BM11" s="24">
        <f>(BM7*BM9/1000)/7.45</f>
        <v>1962.5387919463087</v>
      </c>
      <c r="BN11" s="69">
        <f>(BN7*BN9/1000)/7.45</f>
        <v>1030.4238926174496</v>
      </c>
      <c r="BO11" s="24"/>
      <c r="BP11" s="24">
        <f>(BP7*BP9/1000)/7.45</f>
        <v>717.29154362416102</v>
      </c>
      <c r="BQ11" s="69">
        <f>(BQ7*BQ9/1000)/7.45</f>
        <v>637.18791946308727</v>
      </c>
      <c r="BR11" s="24">
        <f>(BR7*BR9/1000)/7.45</f>
        <v>608.05932885906043</v>
      </c>
      <c r="BS11" s="69">
        <f>(BS7*BS9/1000)/7.46</f>
        <v>323.62117962466488</v>
      </c>
      <c r="BT11" s="24"/>
      <c r="BU11" s="24">
        <f>(BU7*BU9/1000)/7.46</f>
        <v>429.07077747989274</v>
      </c>
      <c r="BV11" s="69">
        <f>(BV7*BV9/1000)/7.46</f>
        <v>367.25549597855229</v>
      </c>
      <c r="BW11" s="24">
        <f>(BW7*BW9/1000)/7.46</f>
        <v>483.61367292225196</v>
      </c>
      <c r="BX11" s="69">
        <f>(BX7*BX9/1000)/7.46</f>
        <v>588.31903485254691</v>
      </c>
    </row>
    <row r="12" spans="1:76" x14ac:dyDescent="0.2">
      <c r="A12" s="2" t="s">
        <v>172</v>
      </c>
      <c r="C12" s="24"/>
      <c r="D12" s="69"/>
      <c r="E12" s="24"/>
      <c r="F12" s="69"/>
      <c r="G12" s="24"/>
      <c r="H12" s="24"/>
      <c r="I12" s="69"/>
      <c r="J12" s="24"/>
      <c r="K12" s="69"/>
      <c r="L12" s="24"/>
      <c r="M12" s="24"/>
      <c r="N12" s="69"/>
      <c r="O12" s="24"/>
      <c r="P12" s="69"/>
      <c r="Q12" s="24"/>
      <c r="R12" s="24"/>
      <c r="S12" s="69"/>
      <c r="T12" s="24"/>
      <c r="U12" s="69"/>
      <c r="V12" s="24"/>
      <c r="W12" s="24"/>
      <c r="X12" s="69"/>
      <c r="Y12" s="24"/>
      <c r="Z12" s="69"/>
      <c r="AA12" s="24"/>
      <c r="AB12" s="24"/>
      <c r="AC12" s="69"/>
      <c r="AD12" s="24"/>
      <c r="AE12" s="69"/>
      <c r="AF12" s="24"/>
      <c r="AG12" s="24"/>
      <c r="AH12" s="69"/>
      <c r="AI12" s="24"/>
      <c r="AJ12" s="69"/>
      <c r="AK12" s="24"/>
      <c r="AL12" s="24"/>
      <c r="AM12" s="69"/>
      <c r="AN12" s="24"/>
      <c r="AO12" s="69"/>
      <c r="AP12" s="24"/>
      <c r="AQ12" s="24"/>
      <c r="AR12" s="69"/>
      <c r="AS12" s="24"/>
      <c r="AT12" s="69"/>
      <c r="AU12" s="24"/>
      <c r="AV12" s="24"/>
      <c r="AW12" s="69"/>
      <c r="AX12" s="24"/>
      <c r="AY12" s="69"/>
      <c r="AZ12" s="24"/>
      <c r="BA12" s="24"/>
      <c r="BB12" s="69"/>
      <c r="BC12" s="24"/>
      <c r="BD12" s="69"/>
      <c r="BE12" s="24"/>
      <c r="BF12" s="24"/>
      <c r="BG12" s="69"/>
      <c r="BH12" s="24"/>
      <c r="BI12" s="69"/>
      <c r="BJ12" s="24"/>
      <c r="BK12" s="24"/>
      <c r="BL12" s="69"/>
      <c r="BM12" s="24"/>
      <c r="BN12" s="69"/>
      <c r="BO12" s="24"/>
      <c r="BP12" s="24"/>
      <c r="BQ12" s="69"/>
      <c r="BR12" s="24">
        <v>150</v>
      </c>
      <c r="BS12" s="69">
        <v>152.4</v>
      </c>
      <c r="BT12" s="24"/>
      <c r="BU12" s="24">
        <v>154.4</v>
      </c>
      <c r="BV12" s="69">
        <v>156.4</v>
      </c>
      <c r="BW12" s="24">
        <v>150.30000000000001</v>
      </c>
      <c r="BX12" s="69">
        <v>152.4</v>
      </c>
    </row>
    <row r="13" spans="1:76" x14ac:dyDescent="0.2">
      <c r="A13" s="2" t="s">
        <v>156</v>
      </c>
      <c r="C13" s="24">
        <v>7.7852348993288585</v>
      </c>
      <c r="D13" s="69">
        <v>7.9194630872483218</v>
      </c>
      <c r="E13" s="24">
        <v>8.4563758389261743</v>
      </c>
      <c r="F13" s="69">
        <v>8.4563758389261743</v>
      </c>
      <c r="G13" s="24"/>
      <c r="H13" s="24">
        <v>8.5906040268456376</v>
      </c>
      <c r="I13" s="69">
        <v>9.5302013422818792</v>
      </c>
      <c r="J13" s="24">
        <v>1.8791946308724832</v>
      </c>
      <c r="K13" s="69">
        <v>2.5503355704697985</v>
      </c>
      <c r="L13" s="24"/>
      <c r="M13" s="24">
        <v>2.6845637583892619</v>
      </c>
      <c r="N13" s="69">
        <v>2.6845637583892619</v>
      </c>
      <c r="O13" s="24">
        <v>3.8926174496644292</v>
      </c>
      <c r="P13" s="69">
        <v>4.9664429530201337</v>
      </c>
      <c r="Q13" s="24"/>
      <c r="R13" s="24">
        <v>5.2348993288590604</v>
      </c>
      <c r="S13" s="69">
        <v>5.6375838926174495</v>
      </c>
      <c r="T13" s="24">
        <v>6.174496644295302</v>
      </c>
      <c r="U13" s="69">
        <v>5.1006711409395971</v>
      </c>
      <c r="V13" s="24"/>
      <c r="W13" s="24">
        <v>4.2953020134228188</v>
      </c>
      <c r="X13" s="69">
        <v>4.6174496644295298</v>
      </c>
      <c r="Y13" s="24">
        <v>5.5033557046979862</v>
      </c>
      <c r="Z13" s="69">
        <v>2.8187919463087248</v>
      </c>
      <c r="AA13" s="24"/>
      <c r="AB13" s="24">
        <v>2.9530201342281877</v>
      </c>
      <c r="AC13" s="69">
        <v>3.087248322147651</v>
      </c>
      <c r="AD13" s="24">
        <v>0.93959731543624159</v>
      </c>
      <c r="AE13" s="69">
        <v>0.93959731543624159</v>
      </c>
      <c r="AF13" s="24"/>
      <c r="AG13" s="24">
        <v>0.67114093959731547</v>
      </c>
      <c r="AH13" s="69">
        <v>0.80536912751677847</v>
      </c>
      <c r="AI13" s="24">
        <v>0.80536912751677847</v>
      </c>
      <c r="AJ13" s="69">
        <v>0.93959731543624159</v>
      </c>
      <c r="AK13" s="24"/>
      <c r="AL13" s="24">
        <v>0.80536912751677847</v>
      </c>
      <c r="AM13" s="69">
        <v>0.80536912751677847</v>
      </c>
      <c r="AN13" s="24">
        <v>0.93959731543624159</v>
      </c>
      <c r="AO13" s="69">
        <v>0.93959731543624159</v>
      </c>
      <c r="AP13" s="24"/>
      <c r="AQ13" s="24">
        <v>1.0738255033557047</v>
      </c>
      <c r="AR13" s="69">
        <v>0.93959731543624159</v>
      </c>
      <c r="AS13" s="24">
        <v>0.93959731543624159</v>
      </c>
      <c r="AT13" s="69">
        <v>0.93959731543624159</v>
      </c>
      <c r="AU13" s="24"/>
      <c r="AV13" s="24">
        <v>0.80536912751677847</v>
      </c>
      <c r="AW13" s="69">
        <v>0.80536912751677847</v>
      </c>
      <c r="AX13" s="24">
        <v>0.80536912751677847</v>
      </c>
      <c r="AY13" s="69">
        <v>0.80536912751677847</v>
      </c>
      <c r="AZ13" s="24"/>
      <c r="BA13" s="24">
        <v>0.93959731543624159</v>
      </c>
      <c r="BB13" s="69">
        <v>0.93959731543624159</v>
      </c>
      <c r="BC13" s="24">
        <v>0.93959731543624159</v>
      </c>
      <c r="BD13" s="69">
        <v>0.9</v>
      </c>
      <c r="BE13" s="24"/>
      <c r="BF13" s="24">
        <v>0.9</v>
      </c>
      <c r="BG13" s="69">
        <v>0</v>
      </c>
      <c r="BH13" s="24">
        <v>0</v>
      </c>
      <c r="BI13" s="69">
        <v>0</v>
      </c>
      <c r="BJ13" s="24"/>
      <c r="BK13" s="24">
        <v>0</v>
      </c>
      <c r="BL13" s="69">
        <v>0</v>
      </c>
      <c r="BM13" s="24">
        <v>0</v>
      </c>
      <c r="BN13" s="69">
        <v>0</v>
      </c>
      <c r="BO13" s="24"/>
      <c r="BP13" s="24">
        <v>0</v>
      </c>
      <c r="BQ13" s="69">
        <v>0</v>
      </c>
      <c r="BR13" s="24">
        <v>0</v>
      </c>
      <c r="BS13" s="69">
        <v>0</v>
      </c>
      <c r="BT13" s="24"/>
      <c r="BU13" s="24">
        <v>0</v>
      </c>
      <c r="BV13" s="69">
        <v>0</v>
      </c>
      <c r="BW13" s="24">
        <v>0</v>
      </c>
      <c r="BX13" s="69">
        <v>0</v>
      </c>
    </row>
    <row r="14" spans="1:76" x14ac:dyDescent="0.2">
      <c r="A14" s="2" t="s">
        <v>104</v>
      </c>
      <c r="C14" s="24">
        <f>-' Financial Highlights'!C31</f>
        <v>-45.2348993288591</v>
      </c>
      <c r="D14" s="69">
        <v>75.033557046979865</v>
      </c>
      <c r="E14" s="24">
        <v>115.16778523489933</v>
      </c>
      <c r="F14" s="69">
        <v>105.63758389261744</v>
      </c>
      <c r="G14" s="24"/>
      <c r="H14" s="24">
        <f>-' Financial Highlights'!I31</f>
        <v>-157.85234899328901</v>
      </c>
      <c r="I14" s="69">
        <v>163.89261744966441</v>
      </c>
      <c r="J14" s="24">
        <v>156.77852348993289</v>
      </c>
      <c r="K14" s="69">
        <v>137.31543624161074</v>
      </c>
      <c r="L14" s="24"/>
      <c r="M14" s="24">
        <v>266.71140939597313</v>
      </c>
      <c r="N14" s="69">
        <v>308.72483221476512</v>
      </c>
      <c r="O14" s="24">
        <v>309.53020134228188</v>
      </c>
      <c r="P14" s="69">
        <v>267.78523489932883</v>
      </c>
      <c r="Q14" s="24"/>
      <c r="R14" s="24">
        <v>297.31543624161071</v>
      </c>
      <c r="S14" s="69">
        <v>379.19463087248323</v>
      </c>
      <c r="T14" s="24">
        <v>378.65771812080538</v>
      </c>
      <c r="U14" s="69">
        <v>303.3557046979866</v>
      </c>
      <c r="V14" s="24"/>
      <c r="W14" s="24">
        <v>306.4832214765101</v>
      </c>
      <c r="X14" s="69">
        <v>347.28859060402687</v>
      </c>
      <c r="Y14" s="24">
        <v>359.86577181208054</v>
      </c>
      <c r="Z14" s="69">
        <v>365.7718120805369</v>
      </c>
      <c r="AA14" s="24"/>
      <c r="AB14" s="24">
        <v>455.57046979865771</v>
      </c>
      <c r="AC14" s="69">
        <v>508.72483221476512</v>
      </c>
      <c r="AD14" s="24">
        <v>556.24161073825508</v>
      </c>
      <c r="AE14" s="69">
        <v>551.00671140939596</v>
      </c>
      <c r="AF14" s="24"/>
      <c r="AG14" s="24">
        <v>647.11409395973158</v>
      </c>
      <c r="AH14" s="69">
        <v>663.08724832214762</v>
      </c>
      <c r="AI14" s="24">
        <v>640.40268456375838</v>
      </c>
      <c r="AJ14" s="69">
        <v>594.49664429530196</v>
      </c>
      <c r="AK14" s="24"/>
      <c r="AL14" s="24">
        <v>602.81879194630869</v>
      </c>
      <c r="AM14" s="69">
        <f>(-' Financial Highlights'!AT31)</f>
        <v>-361.34228187919501</v>
      </c>
      <c r="AN14" s="24">
        <f>(-' Financial Highlights'!AU31)</f>
        <v>-369.26174496644302</v>
      </c>
      <c r="AO14" s="69">
        <f>(-' Financial Highlights'!AV31)</f>
        <v>-256.24161073825502</v>
      </c>
      <c r="AP14" s="24"/>
      <c r="AQ14" s="24">
        <v>372.6174496644295</v>
      </c>
      <c r="AR14" s="69">
        <v>381.07382550335569</v>
      </c>
      <c r="AS14" s="24">
        <v>369.53020134228188</v>
      </c>
      <c r="AT14" s="69">
        <v>283.3557046979866</v>
      </c>
      <c r="AU14" s="24"/>
      <c r="AV14" s="24">
        <v>268.32214765100673</v>
      </c>
      <c r="AW14" s="69">
        <v>269.53020134228188</v>
      </c>
      <c r="AX14" s="24">
        <v>284.42953020134229</v>
      </c>
      <c r="AY14" s="69">
        <v>152.34899328859061</v>
      </c>
      <c r="AZ14" s="24"/>
      <c r="BA14" s="24">
        <v>177.4496644295302</v>
      </c>
      <c r="BB14" s="69">
        <v>193.02013422818791</v>
      </c>
      <c r="BC14" s="24">
        <v>167.51677852348993</v>
      </c>
      <c r="BD14" s="69">
        <v>88.9</v>
      </c>
      <c r="BE14" s="24"/>
      <c r="BF14" s="24">
        <v>158.9</v>
      </c>
      <c r="BG14" s="69">
        <v>188.2</v>
      </c>
      <c r="BH14" s="24">
        <v>174.6</v>
      </c>
      <c r="BI14" s="69">
        <v>-68.400000000000006</v>
      </c>
      <c r="BJ14" s="24"/>
      <c r="BK14" s="24">
        <v>616.79999999999995</v>
      </c>
      <c r="BL14" s="69">
        <v>742.3</v>
      </c>
      <c r="BM14" s="24">
        <v>720.1</v>
      </c>
      <c r="BN14" s="69">
        <v>293.2</v>
      </c>
      <c r="BO14" s="24"/>
      <c r="BP14" s="24">
        <v>432.7</v>
      </c>
      <c r="BQ14" s="69">
        <v>409.5</v>
      </c>
      <c r="BR14" s="24">
        <v>307.5</v>
      </c>
      <c r="BS14" s="69">
        <v>248.3</v>
      </c>
      <c r="BT14" s="24"/>
      <c r="BU14" s="24">
        <v>339</v>
      </c>
      <c r="BV14" s="69">
        <v>336.1</v>
      </c>
      <c r="BW14" s="24">
        <v>349.9</v>
      </c>
      <c r="BX14" s="69">
        <v>242.2</v>
      </c>
    </row>
    <row r="15" spans="1:76" s="44" customFormat="1" x14ac:dyDescent="0.2">
      <c r="A15" s="44" t="s">
        <v>108</v>
      </c>
      <c r="C15" s="95">
        <f>SUM(C11:C14)</f>
        <v>613.69127516778519</v>
      </c>
      <c r="D15" s="96">
        <f>SUM(D11:D14)</f>
        <v>836.04026845637577</v>
      </c>
      <c r="E15" s="95">
        <f>SUM(E11:E14)</f>
        <v>946.37449664429528</v>
      </c>
      <c r="F15" s="96">
        <f>SUM(F11:F14)</f>
        <v>1021.6315436241609</v>
      </c>
      <c r="G15" s="95"/>
      <c r="H15" s="95">
        <f>SUM(H11:H14)</f>
        <v>1072.3026845637578</v>
      </c>
      <c r="I15" s="96">
        <f>SUM(I11:I14)</f>
        <v>1324.0875167785232</v>
      </c>
      <c r="J15" s="95">
        <f>SUM(J11:J14)</f>
        <v>1548.2582550335569</v>
      </c>
      <c r="K15" s="96">
        <f>SUM(K11:K14)</f>
        <v>1721.2437583892618</v>
      </c>
      <c r="L15" s="95"/>
      <c r="M15" s="95">
        <f>SUM(M11:M14)</f>
        <v>1677.8598657718121</v>
      </c>
      <c r="N15" s="96">
        <f>SUM(N11:N14)</f>
        <v>2047.5758389261746</v>
      </c>
      <c r="O15" s="95">
        <f>SUM(O11:O14)</f>
        <v>2166.5986577181206</v>
      </c>
      <c r="P15" s="96">
        <f>SUM(P11:P14)</f>
        <v>1724.3006711409396</v>
      </c>
      <c r="Q15" s="95"/>
      <c r="R15" s="95">
        <f>SUM(R11:R14)</f>
        <v>1378.5476510067115</v>
      </c>
      <c r="S15" s="96">
        <f>SUM(S11:S14)</f>
        <v>1600.1503355704699</v>
      </c>
      <c r="T15" s="95">
        <f>SUM(T11:T14)</f>
        <v>1162.255033557047</v>
      </c>
      <c r="U15" s="96">
        <f>SUM(U11:U14)</f>
        <v>644.81073825503358</v>
      </c>
      <c r="V15" s="95"/>
      <c r="W15" s="95">
        <f>SUM(W11:W14)</f>
        <v>618.57449664429532</v>
      </c>
      <c r="X15" s="96">
        <f>SUM(X11:X14)</f>
        <v>919.10738255033539</v>
      </c>
      <c r="Y15" s="95">
        <f>SUM(Y11:Y14)</f>
        <v>1307.7959731543624</v>
      </c>
      <c r="Z15" s="96">
        <f>SUM(Z11:Z14)</f>
        <v>1291.9785234899327</v>
      </c>
      <c r="AA15" s="95"/>
      <c r="AB15" s="95">
        <f>SUM(AB11:AB14)</f>
        <v>1426.4993288590604</v>
      </c>
      <c r="AC15" s="96">
        <f>SUM(AC11:AC14)</f>
        <v>1382.0287248322147</v>
      </c>
      <c r="AD15" s="95">
        <f>SUM(AD11:AD14)</f>
        <v>1414.6939597315436</v>
      </c>
      <c r="AE15" s="96">
        <f>SUM(AE11:AE14)</f>
        <v>1495.2103355704699</v>
      </c>
      <c r="AF15" s="95"/>
      <c r="AG15" s="95">
        <f>SUM(AG11:AG14)</f>
        <v>1629.1424410738255</v>
      </c>
      <c r="AH15" s="96">
        <f>SUM(AH11:AH14)</f>
        <v>1708.768089395973</v>
      </c>
      <c r="AI15" s="95">
        <f>SUM(AI11:AI14)</f>
        <v>1282.7425379865772</v>
      </c>
      <c r="AJ15" s="96">
        <f>SUM(AJ11:AJ14)</f>
        <v>1202.0356797315435</v>
      </c>
      <c r="AK15" s="95"/>
      <c r="AL15" s="95">
        <f>SUM(AL11:AL14)</f>
        <v>1415.4209463087248</v>
      </c>
      <c r="AM15" s="96">
        <f>SUM(AM11:AM14)</f>
        <v>246.72348993288557</v>
      </c>
      <c r="AN15" s="95">
        <f>SUM(AN11:AN14)</f>
        <v>277.29154362416097</v>
      </c>
      <c r="AO15" s="96">
        <f>SUM(AO11:AO14)</f>
        <v>396.70389261744975</v>
      </c>
      <c r="AP15" s="95"/>
      <c r="AQ15" s="95">
        <f>SUM(AQ11:AQ14)</f>
        <v>1065.2681879194629</v>
      </c>
      <c r="AR15" s="96">
        <f>SUM(AR11:AR14)</f>
        <v>1047.9763758389263</v>
      </c>
      <c r="AS15" s="95">
        <f>SUM(AS11:AS14)</f>
        <v>1247.7479194630873</v>
      </c>
      <c r="AT15" s="96">
        <f>SUM(AT11:AT14)</f>
        <v>1142.3629530201342</v>
      </c>
      <c r="AU15" s="95"/>
      <c r="AV15" s="95">
        <f>SUM(AV11:AV14)</f>
        <v>1274.6440268456377</v>
      </c>
      <c r="AW15" s="96">
        <f>SUM(AW11:AW14)</f>
        <v>1467.9889932885908</v>
      </c>
      <c r="AX15" s="95">
        <f>SUM(AX11:AX14)</f>
        <v>1325.9765100671138</v>
      </c>
      <c r="AY15" s="96">
        <f>SUM(AY11:AY14)</f>
        <v>1216.3119463087248</v>
      </c>
      <c r="AZ15" s="95"/>
      <c r="BA15" s="95">
        <f>SUM(BA11:BA14)</f>
        <v>1618.4570469798657</v>
      </c>
      <c r="BB15" s="96">
        <f>SUM(BB11:BB14)</f>
        <v>1436.6249664429531</v>
      </c>
      <c r="BC15" s="95">
        <f>SUM(BC11:BC14)</f>
        <v>1307.5661744966442</v>
      </c>
      <c r="BD15" s="96">
        <f>SUM(BD11:BD14)</f>
        <v>1245.09033557047</v>
      </c>
      <c r="BE15" s="95"/>
      <c r="BF15" s="95">
        <f>SUM(BF11:BF14)</f>
        <v>1386.6510067114098</v>
      </c>
      <c r="BG15" s="96">
        <f>SUM(BG11:BG14)</f>
        <v>1263.2978523489933</v>
      </c>
      <c r="BH15" s="95">
        <f>SUM(BH11:BH14)</f>
        <v>1518.6469798657715</v>
      </c>
      <c r="BI15" s="96">
        <f>SUM(BI11:BI14)</f>
        <v>1729.0046979865772</v>
      </c>
      <c r="BJ15" s="95"/>
      <c r="BK15" s="95">
        <f>SUM(BK11:BK14)</f>
        <v>2477.2499328859058</v>
      </c>
      <c r="BL15" s="96">
        <f>SUM(BL11:BL14)</f>
        <v>2641.9595973154364</v>
      </c>
      <c r="BM15" s="95">
        <f>SUM(BM11:BM14)</f>
        <v>2682.6387919463086</v>
      </c>
      <c r="BN15" s="96">
        <f>SUM(BN11:BN14)</f>
        <v>1323.6238926174497</v>
      </c>
      <c r="BO15" s="95"/>
      <c r="BP15" s="95">
        <f>SUM(BP11:BP14)</f>
        <v>1149.9915436241611</v>
      </c>
      <c r="BQ15" s="96">
        <f>SUM(BQ11:BQ14)</f>
        <v>1046.6879194630874</v>
      </c>
      <c r="BR15" s="95">
        <f>SUM(BR11:BR14)</f>
        <v>1065.5593288590603</v>
      </c>
      <c r="BS15" s="96">
        <f>SUM(BS11:BS14)</f>
        <v>724.32117962466486</v>
      </c>
      <c r="BT15" s="95"/>
      <c r="BU15" s="95">
        <f>SUM(BU11:BU14)</f>
        <v>922.47077747989272</v>
      </c>
      <c r="BV15" s="96">
        <f>SUM(BV11:BV14)</f>
        <v>859.75549597855229</v>
      </c>
      <c r="BW15" s="95">
        <f>SUM(BW11:BW14)</f>
        <v>983.81367292225195</v>
      </c>
      <c r="BX15" s="96">
        <f>SUM(BX11:BX14)</f>
        <v>982.91903485254693</v>
      </c>
    </row>
    <row r="16" spans="1:76" s="47" customFormat="1" x14ac:dyDescent="0.2">
      <c r="C16" s="104"/>
      <c r="D16" s="105"/>
      <c r="E16" s="104"/>
      <c r="F16" s="105"/>
      <c r="G16" s="104"/>
      <c r="H16" s="104"/>
      <c r="I16" s="105"/>
      <c r="J16" s="104"/>
      <c r="K16" s="105"/>
      <c r="L16" s="104"/>
      <c r="M16" s="104"/>
      <c r="N16" s="105"/>
      <c r="O16" s="104"/>
      <c r="P16" s="105"/>
      <c r="Q16" s="104"/>
      <c r="R16" s="104"/>
      <c r="S16" s="105"/>
      <c r="T16" s="104"/>
      <c r="U16" s="105"/>
      <c r="V16" s="104"/>
      <c r="W16" s="104"/>
      <c r="X16" s="105"/>
      <c r="Y16" s="104"/>
      <c r="Z16" s="105"/>
      <c r="AA16" s="104"/>
      <c r="AB16" s="104"/>
      <c r="AC16" s="105"/>
      <c r="AD16" s="104"/>
      <c r="AE16" s="105"/>
      <c r="AF16" s="104"/>
      <c r="AG16" s="104"/>
      <c r="AH16" s="105"/>
      <c r="AI16" s="104"/>
      <c r="AJ16" s="105"/>
      <c r="AK16" s="104"/>
      <c r="AL16" s="104"/>
      <c r="AM16" s="105"/>
      <c r="AN16" s="104"/>
      <c r="AO16" s="105"/>
      <c r="AP16" s="104"/>
      <c r="AQ16" s="104"/>
      <c r="AR16" s="105"/>
      <c r="AS16" s="104"/>
      <c r="AT16" s="105"/>
      <c r="AU16" s="104"/>
      <c r="AV16" s="104"/>
      <c r="AW16" s="105"/>
      <c r="AX16" s="104"/>
      <c r="AY16" s="105"/>
      <c r="AZ16" s="104"/>
      <c r="BA16" s="104"/>
      <c r="BB16" s="105"/>
      <c r="BC16" s="104"/>
      <c r="BD16" s="105"/>
      <c r="BE16" s="104"/>
      <c r="BF16" s="104"/>
      <c r="BG16" s="105"/>
      <c r="BH16" s="104"/>
      <c r="BI16" s="105"/>
      <c r="BJ16" s="104"/>
      <c r="BK16" s="104"/>
      <c r="BL16" s="105"/>
      <c r="BM16" s="104"/>
      <c r="BN16" s="105"/>
      <c r="BO16" s="104"/>
      <c r="BP16" s="104"/>
      <c r="BQ16" s="105"/>
      <c r="BR16" s="104"/>
      <c r="BS16" s="105"/>
      <c r="BT16" s="104"/>
      <c r="BU16" s="104"/>
      <c r="BV16" s="105"/>
      <c r="BW16" s="104"/>
      <c r="BX16" s="105"/>
    </row>
    <row r="17" spans="1:76" x14ac:dyDescent="0.2">
      <c r="A17" s="2" t="s">
        <v>35</v>
      </c>
      <c r="C17" s="24">
        <v>89.932885906040269</v>
      </c>
      <c r="D17" s="69">
        <v>93.288590604026837</v>
      </c>
      <c r="E17" s="24">
        <v>84.295302013422813</v>
      </c>
      <c r="F17" s="69">
        <v>95.704697986577173</v>
      </c>
      <c r="G17" s="24"/>
      <c r="H17" s="24">
        <f>'OLD Segment Data 2005-2019'!D38+'OLD Segment Data 2005-2019'!E38+'OLD Segment Data 2005-2019'!F38+'OLD Segment Data 2005-2019'!I38</f>
        <v>102.5503355704698</v>
      </c>
      <c r="I17" s="69">
        <f>'OLD Segment Data 2005-2019'!J38+'OLD Segment Data 2005-2019'!I38+'OLD Segment Data 2005-2019'!F38+'OLD Segment Data 2005-2019'!E38</f>
        <v>129.26174496644296</v>
      </c>
      <c r="J17" s="24">
        <f>'OLD Segment Data 2005-2019'!K38+'OLD Segment Data 2005-2019'!J38+'OLD Segment Data 2005-2019'!I38+'OLD Segment Data 2005-2019'!F38</f>
        <v>137.98657718120805</v>
      </c>
      <c r="K17" s="69">
        <f>'OLD Segment Data 2005-2019'!M38</f>
        <v>137.18120805369128</v>
      </c>
      <c r="L17" s="24"/>
      <c r="M17" s="24">
        <v>147.91946308724832</v>
      </c>
      <c r="N17" s="69">
        <v>151.14093959731542</v>
      </c>
      <c r="O17" s="24">
        <v>161.61073825503357</v>
      </c>
      <c r="P17" s="69">
        <v>192.34899328859061</v>
      </c>
      <c r="Q17" s="24"/>
      <c r="R17" s="24">
        <v>198.92617449664428</v>
      </c>
      <c r="S17" s="69">
        <v>207.51677852348993</v>
      </c>
      <c r="T17" s="24">
        <v>206.97986577181209</v>
      </c>
      <c r="U17" s="69">
        <v>163.48993288590603</v>
      </c>
      <c r="V17" s="24"/>
      <c r="W17" s="24">
        <v>139.59731543624162</v>
      </c>
      <c r="X17" s="69">
        <v>109.53020134228187</v>
      </c>
      <c r="Y17" s="24">
        <v>95.570469798657712</v>
      </c>
      <c r="Z17" s="69">
        <v>105.1006711409396</v>
      </c>
      <c r="AA17" s="24"/>
      <c r="AB17" s="24">
        <v>116.64429530201342</v>
      </c>
      <c r="AC17" s="69">
        <v>119.46308724832214</v>
      </c>
      <c r="AD17" s="24">
        <v>122.81879194630872</v>
      </c>
      <c r="AE17" s="69">
        <v>120.67114093959731</v>
      </c>
      <c r="AF17" s="24"/>
      <c r="AG17" s="24">
        <v>121.07382550335571</v>
      </c>
      <c r="AH17" s="69">
        <v>114.63087248322148</v>
      </c>
      <c r="AI17" s="24">
        <v>122.95302013422818</v>
      </c>
      <c r="AJ17" s="69">
        <v>134.63087248322148</v>
      </c>
      <c r="AK17" s="24"/>
      <c r="AL17" s="24">
        <v>136.24161073825502</v>
      </c>
      <c r="AM17" s="69">
        <v>138.79194630872482</v>
      </c>
      <c r="AN17" s="24">
        <v>128.99328859060401</v>
      </c>
      <c r="AO17" s="69">
        <v>135.43624161073825</v>
      </c>
      <c r="AP17" s="24"/>
      <c r="AQ17" s="24">
        <v>133.95973154362414</v>
      </c>
      <c r="AR17" s="69">
        <v>140.67114093959731</v>
      </c>
      <c r="AS17" s="24">
        <v>140.93959731543623</v>
      </c>
      <c r="AT17" s="69">
        <v>148.05369127516778</v>
      </c>
      <c r="AU17" s="24"/>
      <c r="AV17" s="24">
        <v>158.65771812080536</v>
      </c>
      <c r="AW17" s="69">
        <v>151.00671140939596</v>
      </c>
      <c r="AX17" s="24">
        <v>148.99328859060401</v>
      </c>
      <c r="AY17" s="69">
        <v>142.41610738255034</v>
      </c>
      <c r="AZ17" s="24"/>
      <c r="BA17" s="24">
        <f>+'OLD Segment Data 2005-2019'!BK38+'OLD Segment Data 2005-2019'!BH38+'OLD Segment Data 2005-2019'!BG38+'OLD Segment Data 2005-2019'!BF38</f>
        <v>135.57046979865771</v>
      </c>
      <c r="BB17" s="69">
        <f>+'OLD Segment Data 2005-2019'!BL38+'OLD Segment Data 2005-2019'!BK38+'OLD Segment Data 2005-2019'!BH38+'OLD Segment Data 2005-2019'!BG38</f>
        <v>160.40268456375838</v>
      </c>
      <c r="BC17" s="24">
        <f>+'OLD Segment Data 2005-2019'!BM38+'OLD Segment Data 2005-2019'!BL38+'OLD Segment Data 2005-2019'!BK38+'OLD Segment Data 2005-2019'!BH38</f>
        <v>162.28187919463087</v>
      </c>
      <c r="BD17" s="69">
        <f>+'OLD Segment Data 2005-2019'!BN38+'OLD Segment Data 2005-2019'!BM38+'OLD Segment Data 2005-2019'!BL38+'OLD Segment Data 2005-2019'!BK38</f>
        <v>152.03154362416106</v>
      </c>
      <c r="BE17" s="24"/>
      <c r="BF17" s="24">
        <f>+'OLD Segment Data 2005-2019'!BQ38+'OLD Segment Data 2005-2019'!BN38+'OLD Segment Data 2005-2019'!BM38+'OLD Segment Data 2005-2019'!BL38</f>
        <v>155.04663758389262</v>
      </c>
      <c r="BG17" s="69">
        <f>+'OLD Segment Data 2005-2019'!BR38+'OLD Segment Data 2005-2019'!BQ38+'OLD Segment Data 2005-2019'!BN38+'OLD Segment Data 2005-2019'!BM38</f>
        <v>151.21576510067115</v>
      </c>
      <c r="BH17" s="24">
        <f>+'OLD Segment Data 2005-2019'!BS38+'OLD Segment Data 2005-2019'!BR38+'OLD Segment Data 2005-2019'!BQ38+'OLD Segment Data 2005-2019'!BN38+0.2</f>
        <v>125.40100000000001</v>
      </c>
      <c r="BI17" s="69">
        <f>+'OLD Segment Data 2005-2019'!BS38+'OLD Segment Data 2005-2019'!BR38+'OLD Segment Data 2005-2019'!BQ38+'OLD Segment Data 2005-2019'!BT38</f>
        <v>124.70100000000001</v>
      </c>
      <c r="BJ17" s="24"/>
      <c r="BK17" s="24">
        <f>+'OLD Segment Data 2005-2019'!BR38+'OLD Segment Data 2005-2019'!BS38+'OLD Segment Data 2005-2019'!BT38+'OLD Segment Data 2005-2019'!BW38</f>
        <v>120.80000000000001</v>
      </c>
      <c r="BL17" s="69">
        <f>+'OLD Segment Data 2005-2019'!BX38+'OLD Segment Data 2005-2019'!BW38+'OLD Segment Data 2005-2019'!BT38+'OLD Segment Data 2005-2019'!BS38</f>
        <v>141.69999999999999</v>
      </c>
      <c r="BM17" s="24">
        <f>+'OLD Segment Data 2005-2019'!BY38+'OLD Segment Data 2005-2019'!BX38+'OLD Segment Data 2005-2019'!BW38+'OLD Segment Data 2005-2019'!BT38</f>
        <v>190.10000000000002</v>
      </c>
      <c r="BN17" s="69">
        <f>+'OLD Segment Data 2005-2019'!CA38</f>
        <v>96.9</v>
      </c>
      <c r="BO17" s="24"/>
      <c r="BP17" s="24">
        <f>+'OLD Segment Data 2005-2019'!CA38+'OLD Segment Data 2005-2019'!CC38-'OLD Segment Data 2005-2019'!BW31-'OLD Segment Data 2005-2019'!BW35</f>
        <v>111.6</v>
      </c>
      <c r="BQ17" s="69">
        <f>+'OLD Segment Data 2005-2019'!CA38+'OLD Segment Data 2005-2019'!CC38+'OLD Segment Data 2005-2019'!CD38-'OLD Segment Data 2005-2019'!BW31-'OLD Segment Data 2005-2019'!BW35-'OLD Segment Data 2005-2019'!BX31-'OLD Segment Data 2005-2019'!BX35</f>
        <v>98.700000000000017</v>
      </c>
      <c r="BR17" s="24">
        <f>+'OLD Segment Data 2005-2019'!CE38+'OLD Segment Data 2005-2019'!CD38+'OLD Segment Data 2005-2019'!CC38+'OLD Segment Data 2005-2019'!BZ38</f>
        <v>81.000000000000014</v>
      </c>
      <c r="BS17" s="69">
        <f>+'OLD Segment Data 2005-2019'!CG38</f>
        <v>49.800000000000004</v>
      </c>
      <c r="BT17" s="24"/>
      <c r="BU17" s="24">
        <f>+'OLD Segment Data 2005-2019'!CI38+'OLD Segment Data 2005-2019'!CF38+'OLD Segment Data 2005-2019'!CE38+'OLD Segment Data 2005-2019'!CD38</f>
        <v>34.200000000000003</v>
      </c>
      <c r="BV17" s="69">
        <f>+'OLD Segment Data 2005-2019'!CJ38+'OLD Segment Data 2005-2019'!CI38+'OLD Segment Data 2005-2019'!CF38+'OLD Segment Data 2005-2019'!CE38</f>
        <v>18</v>
      </c>
      <c r="BW17" s="24">
        <f>+'OLD Segment Data 2005-2019'!CK38+'OLD Segment Data 2005-2019'!CJ38+'OLD Segment Data 2005-2019'!CI38+'OLD Segment Data 2005-2019'!CF38</f>
        <v>6.1000000000000014</v>
      </c>
      <c r="BX17" s="69">
        <f>+'OLD Segment Data 2005-2019'!CM38</f>
        <v>17.700000000000003</v>
      </c>
    </row>
    <row r="18" spans="1:76" x14ac:dyDescent="0.2">
      <c r="A18" s="55" t="s">
        <v>72</v>
      </c>
      <c r="C18" s="24"/>
      <c r="D18" s="69"/>
      <c r="E18" s="24"/>
      <c r="F18" s="69"/>
      <c r="G18" s="24"/>
      <c r="H18" s="24"/>
      <c r="I18" s="69"/>
      <c r="J18" s="24"/>
      <c r="K18" s="69"/>
      <c r="L18" s="24"/>
      <c r="M18" s="24"/>
      <c r="N18" s="69"/>
      <c r="O18" s="24"/>
      <c r="P18" s="69"/>
      <c r="Q18" s="24"/>
      <c r="R18" s="24"/>
      <c r="S18" s="69"/>
      <c r="T18" s="24"/>
      <c r="U18" s="69"/>
      <c r="V18" s="24"/>
      <c r="W18" s="24"/>
      <c r="X18" s="69"/>
      <c r="Y18" s="24"/>
      <c r="Z18" s="69"/>
      <c r="AA18" s="24"/>
      <c r="AB18" s="24"/>
      <c r="AC18" s="69"/>
      <c r="AD18" s="24"/>
      <c r="AE18" s="69"/>
      <c r="AF18" s="24"/>
      <c r="AG18" s="24"/>
      <c r="AH18" s="69"/>
      <c r="AI18" s="24"/>
      <c r="AJ18" s="69"/>
      <c r="AK18" s="24"/>
      <c r="AL18" s="24"/>
      <c r="AM18" s="69"/>
      <c r="AN18" s="24"/>
      <c r="AO18" s="69"/>
      <c r="AP18" s="24"/>
      <c r="AQ18" s="24"/>
      <c r="AR18" s="69"/>
      <c r="AS18" s="24"/>
      <c r="AT18" s="69"/>
      <c r="AU18" s="24"/>
      <c r="AV18" s="24"/>
      <c r="AW18" s="69"/>
      <c r="AX18" s="24"/>
      <c r="AY18" s="69"/>
      <c r="AZ18" s="24"/>
      <c r="BA18" s="24"/>
      <c r="BB18" s="69"/>
      <c r="BC18" s="24"/>
      <c r="BD18" s="69"/>
      <c r="BE18" s="24"/>
      <c r="BF18" s="24"/>
      <c r="BG18" s="69"/>
      <c r="BH18" s="24"/>
      <c r="BI18" s="69"/>
      <c r="BJ18" s="24"/>
      <c r="BK18" s="24"/>
      <c r="BL18" s="69"/>
      <c r="BM18" s="24"/>
      <c r="BN18" s="69"/>
      <c r="BO18" s="24"/>
      <c r="BP18" s="24"/>
      <c r="BQ18" s="69"/>
      <c r="BR18" s="24"/>
      <c r="BS18" s="69"/>
      <c r="BT18" s="24"/>
      <c r="BU18" s="24"/>
      <c r="BV18" s="69"/>
      <c r="BW18" s="24"/>
      <c r="BX18" s="69"/>
    </row>
    <row r="19" spans="1:76" x14ac:dyDescent="0.2">
      <c r="A19" s="2" t="s">
        <v>95</v>
      </c>
      <c r="C19" s="24"/>
      <c r="D19" s="69"/>
      <c r="E19" s="24"/>
      <c r="F19" s="69"/>
      <c r="G19" s="24"/>
      <c r="H19" s="24"/>
      <c r="I19" s="69"/>
      <c r="J19" s="24"/>
      <c r="K19" s="69"/>
      <c r="L19" s="24"/>
      <c r="M19" s="24"/>
      <c r="N19" s="69"/>
      <c r="O19" s="24"/>
      <c r="P19" s="69"/>
      <c r="Q19" s="24"/>
      <c r="R19" s="24"/>
      <c r="S19" s="69"/>
      <c r="T19" s="24"/>
      <c r="U19" s="69"/>
      <c r="V19" s="24"/>
      <c r="W19" s="24"/>
      <c r="X19" s="69"/>
      <c r="Y19" s="24"/>
      <c r="Z19" s="69"/>
      <c r="AA19" s="24"/>
      <c r="AB19" s="24"/>
      <c r="AC19" s="69"/>
      <c r="AD19" s="24"/>
      <c r="AE19" s="69"/>
      <c r="AF19" s="24"/>
      <c r="AG19" s="24"/>
      <c r="AH19" s="69"/>
      <c r="AI19" s="24"/>
      <c r="AJ19" s="69"/>
      <c r="AK19" s="24"/>
      <c r="AL19" s="24"/>
      <c r="AM19" s="69"/>
      <c r="AN19" s="24"/>
      <c r="AO19" s="69"/>
      <c r="AP19" s="24"/>
      <c r="AQ19" s="24"/>
      <c r="AR19" s="69"/>
      <c r="AS19" s="24"/>
      <c r="AT19" s="69"/>
      <c r="AU19" s="24"/>
      <c r="AV19" s="24"/>
      <c r="AW19" s="69"/>
      <c r="AX19" s="24"/>
      <c r="AY19" s="69"/>
      <c r="AZ19" s="24"/>
      <c r="BA19" s="24"/>
      <c r="BB19" s="69"/>
      <c r="BC19" s="24"/>
      <c r="BD19" s="69"/>
      <c r="BE19" s="24"/>
      <c r="BF19" s="24"/>
      <c r="BG19" s="69"/>
      <c r="BH19" s="24"/>
      <c r="BI19" s="69"/>
      <c r="BJ19" s="24"/>
      <c r="BK19" s="24"/>
      <c r="BL19" s="69"/>
      <c r="BM19" s="24"/>
      <c r="BN19" s="69"/>
      <c r="BO19" s="24"/>
      <c r="BP19" s="24"/>
      <c r="BQ19" s="69"/>
      <c r="BR19" s="24"/>
      <c r="BS19" s="69"/>
      <c r="BT19" s="24"/>
      <c r="BU19" s="24"/>
      <c r="BV19" s="69"/>
      <c r="BW19" s="24"/>
      <c r="BX19" s="69"/>
    </row>
    <row r="20" spans="1:76" x14ac:dyDescent="0.2">
      <c r="A20" s="2" t="s">
        <v>36</v>
      </c>
      <c r="C20" s="24">
        <v>-25.63758389261745</v>
      </c>
      <c r="D20" s="69">
        <v>-25.63758389261745</v>
      </c>
      <c r="E20" s="24">
        <v>-7.1140939597315436</v>
      </c>
      <c r="F20" s="69">
        <v>-5.2348993288590604</v>
      </c>
      <c r="G20" s="24"/>
      <c r="H20" s="24">
        <v>-5.2348993288590604</v>
      </c>
      <c r="I20" s="69">
        <f>(-109-25)/7.45</f>
        <v>-17.986577181208052</v>
      </c>
      <c r="J20" s="24">
        <f>(-113-25)/7.45</f>
        <v>-18.523489932885905</v>
      </c>
      <c r="K20" s="69">
        <v>-14.496644295302014</v>
      </c>
      <c r="L20" s="24"/>
      <c r="M20" s="24">
        <v>-14.496644295302014</v>
      </c>
      <c r="N20" s="69">
        <v>0</v>
      </c>
      <c r="O20" s="24">
        <v>0</v>
      </c>
      <c r="P20" s="69">
        <v>-9.3959731543624159</v>
      </c>
      <c r="Q20" s="24"/>
      <c r="R20" s="24">
        <v>-9.3959731543624159</v>
      </c>
      <c r="S20" s="69">
        <v>-9.3959731543624159</v>
      </c>
      <c r="T20" s="24">
        <v>-9.3959731543624159</v>
      </c>
      <c r="U20" s="69">
        <v>0</v>
      </c>
      <c r="V20" s="24"/>
      <c r="W20" s="24"/>
      <c r="X20" s="69"/>
      <c r="Y20" s="24"/>
      <c r="Z20" s="69"/>
      <c r="AA20" s="24"/>
      <c r="AB20" s="24"/>
      <c r="AC20" s="69"/>
      <c r="AD20" s="24"/>
      <c r="AE20" s="69"/>
      <c r="AF20" s="24"/>
      <c r="AG20" s="24"/>
      <c r="AH20" s="69"/>
      <c r="AI20" s="24"/>
      <c r="AJ20" s="69"/>
      <c r="AK20" s="24"/>
      <c r="AL20" s="24"/>
      <c r="AM20" s="69"/>
      <c r="AN20" s="24"/>
      <c r="AO20" s="69"/>
      <c r="AP20" s="24"/>
      <c r="AQ20" s="24"/>
      <c r="AR20" s="69"/>
      <c r="AS20" s="24"/>
      <c r="AT20" s="69"/>
      <c r="AU20" s="24"/>
      <c r="AV20" s="24"/>
      <c r="AW20" s="69"/>
      <c r="AX20" s="24"/>
      <c r="AY20" s="69"/>
      <c r="AZ20" s="24"/>
      <c r="BA20" s="24"/>
      <c r="BB20" s="69"/>
      <c r="BC20" s="24"/>
      <c r="BD20" s="69"/>
      <c r="BE20" s="24"/>
      <c r="BF20" s="24"/>
      <c r="BG20" s="69"/>
      <c r="BH20" s="24"/>
      <c r="BI20" s="69"/>
      <c r="BJ20" s="24"/>
      <c r="BK20" s="24"/>
      <c r="BL20" s="69"/>
      <c r="BM20" s="24"/>
      <c r="BN20" s="69"/>
      <c r="BO20" s="24"/>
      <c r="BP20" s="24"/>
      <c r="BQ20" s="69"/>
      <c r="BR20" s="24"/>
      <c r="BS20" s="69"/>
      <c r="BT20" s="24"/>
      <c r="BU20" s="24"/>
      <c r="BV20" s="69"/>
      <c r="BW20" s="24"/>
      <c r="BX20" s="69"/>
    </row>
    <row r="21" spans="1:76" x14ac:dyDescent="0.2">
      <c r="A21" s="2" t="s">
        <v>161</v>
      </c>
      <c r="C21" s="24">
        <v>3.2214765100671139</v>
      </c>
      <c r="D21" s="69">
        <v>7.9194630872483218</v>
      </c>
      <c r="E21" s="24">
        <v>7.9194630872483218</v>
      </c>
      <c r="F21" s="69">
        <v>4.6979865771812079</v>
      </c>
      <c r="G21" s="24"/>
      <c r="H21" s="24">
        <v>4.6979865771812079</v>
      </c>
      <c r="I21" s="69">
        <v>0</v>
      </c>
      <c r="J21" s="24">
        <v>0</v>
      </c>
      <c r="K21" s="69">
        <v>0</v>
      </c>
      <c r="L21" s="24"/>
      <c r="M21" s="24"/>
      <c r="N21" s="69"/>
      <c r="O21" s="24"/>
      <c r="P21" s="69"/>
      <c r="Q21" s="24"/>
      <c r="R21" s="24">
        <v>0</v>
      </c>
      <c r="S21" s="69">
        <v>0</v>
      </c>
      <c r="T21" s="24">
        <v>4.1610738255033555</v>
      </c>
      <c r="U21" s="69">
        <v>11.006711409395972</v>
      </c>
      <c r="V21" s="24"/>
      <c r="W21" s="24">
        <v>13.691275167785234</v>
      </c>
      <c r="X21" s="69">
        <v>21.34228187919463</v>
      </c>
      <c r="Y21" s="24">
        <v>22.281879194630871</v>
      </c>
      <c r="Z21" s="69">
        <v>20.402684563758388</v>
      </c>
      <c r="AA21" s="24"/>
      <c r="AB21" s="24">
        <f>(152-20+22)/7.45</f>
        <v>20.671140939597315</v>
      </c>
      <c r="AC21" s="69">
        <v>16.241610738255034</v>
      </c>
      <c r="AD21" s="24">
        <v>14.765100671140939</v>
      </c>
      <c r="AE21" s="69">
        <v>11.543624161073826</v>
      </c>
      <c r="AF21" s="24"/>
      <c r="AG21" s="24">
        <v>9.2617449664429525</v>
      </c>
      <c r="AH21" s="69">
        <v>7.2483221476510069</v>
      </c>
      <c r="AI21" s="24">
        <v>4.1610738255033555</v>
      </c>
      <c r="AJ21" s="69">
        <v>4.4295302013422821</v>
      </c>
      <c r="AK21" s="24"/>
      <c r="AL21" s="24">
        <v>3.8926174496644292</v>
      </c>
      <c r="AM21" s="69">
        <v>4.1610738255033555</v>
      </c>
      <c r="AN21" s="24">
        <v>5.2348993288590604</v>
      </c>
      <c r="AO21" s="69">
        <v>4.0268456375838921</v>
      </c>
      <c r="AP21" s="24"/>
      <c r="AQ21" s="24">
        <v>3.7583892617449663</v>
      </c>
      <c r="AR21" s="69">
        <v>2.6845637583892619</v>
      </c>
      <c r="AS21" s="24">
        <v>3.087248322147651</v>
      </c>
      <c r="AT21" s="69">
        <v>-2.4161073825503356</v>
      </c>
      <c r="AU21" s="24"/>
      <c r="AV21" s="24">
        <v>4.9664429530201337</v>
      </c>
      <c r="AW21" s="69">
        <f>(74+64)/7.45</f>
        <v>18.523489932885905</v>
      </c>
      <c r="AX21" s="24">
        <v>22.416107382550337</v>
      </c>
      <c r="AY21" s="69">
        <v>40.805369127516776</v>
      </c>
      <c r="AZ21" s="24"/>
      <c r="BA21" s="24">
        <v>38.65771812080537</v>
      </c>
      <c r="BB21" s="69">
        <v>29.530201342281877</v>
      </c>
      <c r="BC21" s="24">
        <v>28.456375838926174</v>
      </c>
      <c r="BD21" s="69">
        <v>23.2</v>
      </c>
      <c r="BE21" s="24"/>
      <c r="BF21" s="24">
        <v>20.7</v>
      </c>
      <c r="BG21" s="69">
        <v>18.100000000000001</v>
      </c>
      <c r="BH21" s="24">
        <f>+BH24-BH17</f>
        <v>54.399999999999977</v>
      </c>
      <c r="BI21" s="69">
        <f>+BI24-BI17</f>
        <v>67.000000000000014</v>
      </c>
      <c r="BJ21" s="24"/>
      <c r="BK21" s="24">
        <v>83.4</v>
      </c>
      <c r="BL21" s="69">
        <f>+BL24-BL17</f>
        <v>89.100000000000023</v>
      </c>
      <c r="BM21" s="24">
        <f>+BM24-BM17</f>
        <v>58.69999999999996</v>
      </c>
      <c r="BN21" s="69">
        <f>+BN24-BN17</f>
        <v>44.900000000000006</v>
      </c>
      <c r="BO21" s="24"/>
      <c r="BP21" s="24">
        <v>33.4</v>
      </c>
      <c r="BQ21" s="69">
        <f>+BQ24-BQ17</f>
        <v>35.799999999999983</v>
      </c>
      <c r="BR21" s="24">
        <f>+BR24-BR17</f>
        <v>38.099999999999994</v>
      </c>
      <c r="BS21" s="69">
        <f>+BS24-BS17</f>
        <v>29.499999999999993</v>
      </c>
      <c r="BT21" s="24"/>
      <c r="BU21" s="24">
        <f>+BU24-BU17-BU23</f>
        <v>29.800000000000004</v>
      </c>
      <c r="BV21" s="69">
        <f>+BV24-BV17-BV23</f>
        <v>26.20000000000001</v>
      </c>
      <c r="BW21" s="24">
        <f>+BW24-BW17-BW23</f>
        <v>21.300000000000011</v>
      </c>
      <c r="BX21" s="69">
        <f>+BX24-BX17-BX23</f>
        <v>18.399999999999999</v>
      </c>
    </row>
    <row r="22" spans="1:76" x14ac:dyDescent="0.2">
      <c r="A22" s="2" t="s">
        <v>96</v>
      </c>
      <c r="C22" s="24">
        <v>3.3557046979865772</v>
      </c>
      <c r="D22" s="69">
        <v>0</v>
      </c>
      <c r="E22" s="24">
        <v>0</v>
      </c>
      <c r="F22" s="69">
        <v>0</v>
      </c>
      <c r="G22" s="24"/>
      <c r="H22" s="24"/>
      <c r="I22" s="69"/>
      <c r="J22" s="24"/>
      <c r="K22" s="69"/>
      <c r="L22" s="24"/>
      <c r="M22" s="24">
        <v>13.422818791946309</v>
      </c>
      <c r="N22" s="69">
        <v>8.0536912751677843</v>
      </c>
      <c r="O22" s="24">
        <v>4.0268456375838921</v>
      </c>
      <c r="P22" s="69"/>
      <c r="Q22" s="24"/>
      <c r="R22" s="24"/>
      <c r="S22" s="69"/>
      <c r="T22" s="24"/>
      <c r="U22" s="69"/>
      <c r="V22" s="24"/>
      <c r="W22" s="24"/>
      <c r="X22" s="69"/>
      <c r="Y22" s="24"/>
      <c r="Z22" s="69"/>
      <c r="AA22" s="24"/>
      <c r="AB22" s="24"/>
      <c r="AC22" s="69"/>
      <c r="AD22" s="24"/>
      <c r="AE22" s="69"/>
      <c r="AF22" s="24"/>
      <c r="AG22" s="24"/>
      <c r="AH22" s="69"/>
      <c r="AI22" s="24"/>
      <c r="AJ22" s="69"/>
      <c r="AK22" s="24"/>
      <c r="AL22" s="24"/>
      <c r="AM22" s="69"/>
      <c r="AN22" s="24"/>
      <c r="AO22" s="69"/>
      <c r="AP22" s="24"/>
      <c r="AQ22" s="24"/>
      <c r="AR22" s="69"/>
      <c r="AS22" s="24"/>
      <c r="AT22" s="69"/>
      <c r="AU22" s="24"/>
      <c r="AV22" s="24"/>
      <c r="AW22" s="69"/>
      <c r="AX22" s="24"/>
      <c r="AY22" s="69"/>
      <c r="AZ22" s="24"/>
      <c r="BA22" s="24"/>
      <c r="BB22" s="69"/>
      <c r="BC22" s="24"/>
      <c r="BD22" s="69"/>
      <c r="BE22" s="24"/>
      <c r="BF22" s="24"/>
      <c r="BG22" s="69"/>
      <c r="BH22" s="24"/>
      <c r="BI22" s="69"/>
      <c r="BJ22" s="24"/>
      <c r="BK22" s="24"/>
      <c r="BL22" s="69"/>
      <c r="BM22" s="24"/>
      <c r="BN22" s="69"/>
      <c r="BO22" s="24"/>
      <c r="BP22" s="24"/>
      <c r="BQ22" s="69"/>
      <c r="BR22" s="24"/>
      <c r="BS22" s="69"/>
      <c r="BT22" s="24"/>
      <c r="BU22" s="24"/>
      <c r="BV22" s="69"/>
      <c r="BW22" s="24"/>
      <c r="BX22" s="69"/>
    </row>
    <row r="23" spans="1:76" x14ac:dyDescent="0.2">
      <c r="A23" s="2" t="s">
        <v>88</v>
      </c>
      <c r="C23" s="24"/>
      <c r="D23" s="69"/>
      <c r="E23" s="24"/>
      <c r="F23" s="69"/>
      <c r="G23" s="24"/>
      <c r="H23" s="24"/>
      <c r="I23" s="69"/>
      <c r="J23" s="24"/>
      <c r="K23" s="69"/>
      <c r="L23" s="24"/>
      <c r="M23" s="24"/>
      <c r="N23" s="69"/>
      <c r="O23" s="24"/>
      <c r="P23" s="69"/>
      <c r="Q23" s="24"/>
      <c r="R23" s="24"/>
      <c r="S23" s="69"/>
      <c r="T23" s="24"/>
      <c r="U23" s="69"/>
      <c r="V23" s="24"/>
      <c r="W23" s="24"/>
      <c r="X23" s="69"/>
      <c r="Y23" s="24"/>
      <c r="Z23" s="69"/>
      <c r="AA23" s="24"/>
      <c r="AB23" s="24"/>
      <c r="AC23" s="69"/>
      <c r="AD23" s="24"/>
      <c r="AE23" s="69"/>
      <c r="AF23" s="24"/>
      <c r="AG23" s="24"/>
      <c r="AH23" s="69"/>
      <c r="AI23" s="24"/>
      <c r="AJ23" s="69"/>
      <c r="AK23" s="24"/>
      <c r="AL23" s="24"/>
      <c r="AM23" s="69"/>
      <c r="AN23" s="24"/>
      <c r="AO23" s="69"/>
      <c r="AP23" s="24"/>
      <c r="AQ23" s="24"/>
      <c r="AR23" s="69"/>
      <c r="AS23" s="24">
        <v>0</v>
      </c>
      <c r="AT23" s="69"/>
      <c r="AU23" s="24"/>
      <c r="AV23" s="24">
        <v>-13.020134228187919</v>
      </c>
      <c r="AW23" s="69">
        <v>-13.020134228187919</v>
      </c>
      <c r="AX23" s="24">
        <v>-13.020134228187919</v>
      </c>
      <c r="AY23" s="69">
        <v>-12.885906040268456</v>
      </c>
      <c r="AZ23" s="24"/>
      <c r="BA23" s="24"/>
      <c r="BB23" s="69"/>
      <c r="BC23" s="24"/>
      <c r="BD23" s="69"/>
      <c r="BE23" s="24"/>
      <c r="BF23" s="24"/>
      <c r="BG23" s="69"/>
      <c r="BH23" s="24"/>
      <c r="BI23" s="69"/>
      <c r="BJ23" s="24"/>
      <c r="BK23" s="24"/>
      <c r="BL23" s="69"/>
      <c r="BM23" s="24"/>
      <c r="BN23" s="69"/>
      <c r="BO23" s="24"/>
      <c r="BP23" s="24"/>
      <c r="BQ23" s="69"/>
      <c r="BR23" s="24"/>
      <c r="BS23" s="69"/>
      <c r="BT23" s="24"/>
      <c r="BU23" s="24">
        <v>-6.4</v>
      </c>
      <c r="BV23" s="69">
        <v>-6.4</v>
      </c>
      <c r="BW23" s="24">
        <v>-6.4</v>
      </c>
      <c r="BX23" s="69">
        <v>-6.4</v>
      </c>
    </row>
    <row r="24" spans="1:76" s="44" customFormat="1" x14ac:dyDescent="0.2">
      <c r="A24" s="44" t="s">
        <v>73</v>
      </c>
      <c r="C24" s="95">
        <f>SUM(C17:C23)</f>
        <v>70.872483221476529</v>
      </c>
      <c r="D24" s="96">
        <f>SUM(D17:D23)</f>
        <v>75.570469798657712</v>
      </c>
      <c r="E24" s="95">
        <f>SUM(E17:E23)</f>
        <v>85.100671140939582</v>
      </c>
      <c r="F24" s="96">
        <f>SUM(F17:F23)</f>
        <v>95.167785234899327</v>
      </c>
      <c r="G24" s="95"/>
      <c r="H24" s="95">
        <f>SUM(H17:H23)</f>
        <v>102.01342281879195</v>
      </c>
      <c r="I24" s="96">
        <f>SUM(I17:I23)</f>
        <v>111.27516778523491</v>
      </c>
      <c r="J24" s="95">
        <f>SUM(J17:J23)</f>
        <v>119.46308724832214</v>
      </c>
      <c r="K24" s="96">
        <f>SUM(K17:K23)</f>
        <v>122.68456375838926</v>
      </c>
      <c r="L24" s="95"/>
      <c r="M24" s="95">
        <f>SUM(M17:M23)</f>
        <v>146.8456375838926</v>
      </c>
      <c r="N24" s="96">
        <f>SUM(N17:N23)</f>
        <v>159.1946308724832</v>
      </c>
      <c r="O24" s="95">
        <f>SUM(O17:O23)</f>
        <v>165.63758389261747</v>
      </c>
      <c r="P24" s="96">
        <f>SUM(P17:P23)</f>
        <v>182.95302013422818</v>
      </c>
      <c r="Q24" s="95"/>
      <c r="R24" s="95">
        <f>SUM(R17:R23)</f>
        <v>189.53020134228186</v>
      </c>
      <c r="S24" s="96">
        <f>SUM(S17:S23)</f>
        <v>198.12080536912751</v>
      </c>
      <c r="T24" s="95">
        <f>SUM(T17:T23)</f>
        <v>201.74496644295303</v>
      </c>
      <c r="U24" s="96">
        <f>SUM(U17:U23)</f>
        <v>174.49664429530199</v>
      </c>
      <c r="V24" s="95"/>
      <c r="W24" s="95">
        <f>SUM(W17:W23)</f>
        <v>153.28859060402684</v>
      </c>
      <c r="X24" s="96">
        <f>SUM(X17:X23)</f>
        <v>130.8724832214765</v>
      </c>
      <c r="Y24" s="95">
        <f>SUM(Y17:Y23)</f>
        <v>117.85234899328859</v>
      </c>
      <c r="Z24" s="96">
        <f>SUM(Z17:Z23)</f>
        <v>125.50335570469798</v>
      </c>
      <c r="AA24" s="95"/>
      <c r="AB24" s="95">
        <f>SUM(AB17:AB23)</f>
        <v>137.31543624161074</v>
      </c>
      <c r="AC24" s="96">
        <f>SUM(AC17:AC23)</f>
        <v>135.70469798657717</v>
      </c>
      <c r="AD24" s="95">
        <f>SUM(AD17:AD23)</f>
        <v>137.58389261744966</v>
      </c>
      <c r="AE24" s="96">
        <f>SUM(AE17:AE23)</f>
        <v>132.21476510067114</v>
      </c>
      <c r="AF24" s="95"/>
      <c r="AG24" s="95">
        <f>SUM(AG17:AG23)</f>
        <v>130.33557046979865</v>
      </c>
      <c r="AH24" s="96">
        <f>SUM(AH17:AH23)</f>
        <v>121.87919463087249</v>
      </c>
      <c r="AI24" s="95">
        <f>SUM(AI17:AI23)</f>
        <v>127.11409395973153</v>
      </c>
      <c r="AJ24" s="96">
        <f>SUM(AJ17:AJ23)</f>
        <v>139.06040268456377</v>
      </c>
      <c r="AK24" s="95"/>
      <c r="AL24" s="95">
        <f>SUM(AL17:AL23)</f>
        <v>140.13422818791946</v>
      </c>
      <c r="AM24" s="96">
        <f>SUM(AM17:AM23)</f>
        <v>142.95302013422818</v>
      </c>
      <c r="AN24" s="95">
        <f>SUM(AN17:AN23)</f>
        <v>134.22818791946307</v>
      </c>
      <c r="AO24" s="96">
        <f>SUM(AO17:AO23)</f>
        <v>139.46308724832215</v>
      </c>
      <c r="AP24" s="95"/>
      <c r="AQ24" s="95">
        <f>SUM(AQ17:AQ23)</f>
        <v>137.7181208053691</v>
      </c>
      <c r="AR24" s="96">
        <f>SUM(AR17:AR23)</f>
        <v>143.35570469798657</v>
      </c>
      <c r="AS24" s="95">
        <f>SUM(AS17:AS23)</f>
        <v>144.02684563758388</v>
      </c>
      <c r="AT24" s="96">
        <f>SUM(AT17:AT23)</f>
        <v>145.63758389261744</v>
      </c>
      <c r="AU24" s="95"/>
      <c r="AV24" s="95">
        <f>SUM(AV17:AV23)</f>
        <v>150.60402684563758</v>
      </c>
      <c r="AW24" s="96">
        <f>SUM(AW17:AW23)</f>
        <v>156.51006711409394</v>
      </c>
      <c r="AX24" s="95">
        <f>SUM(AX17:AX23)</f>
        <v>158.38926174496643</v>
      </c>
      <c r="AY24" s="96">
        <f>SUM(AY17:AY23)</f>
        <v>170.33557046979865</v>
      </c>
      <c r="AZ24" s="95"/>
      <c r="BA24" s="95">
        <f>SUM(BA17:BA23)</f>
        <v>174.2281879194631</v>
      </c>
      <c r="BB24" s="96">
        <f>SUM(BB17:BB23)</f>
        <v>189.93288590604027</v>
      </c>
      <c r="BC24" s="95">
        <f>SUM(BC17:BC23)</f>
        <v>190.73825503355704</v>
      </c>
      <c r="BD24" s="96">
        <f>SUM(BD17:BD23)</f>
        <v>175.23154362416105</v>
      </c>
      <c r="BE24" s="95"/>
      <c r="BF24" s="95">
        <f>SUM(BF17:BF23)</f>
        <v>175.74663758389261</v>
      </c>
      <c r="BG24" s="96">
        <f>SUM(BG17:BG23)</f>
        <v>169.31576510067114</v>
      </c>
      <c r="BH24" s="95">
        <f>+'OLD Segment Data 2005-2019'!BS24+'OLD Segment Data 2005-2019'!BR24+'OLD Segment Data 2005-2019'!BQ24+'OLD Segment Data 2005-2019'!BN24+0.2</f>
        <v>179.80099999999999</v>
      </c>
      <c r="BI24" s="96">
        <f>+'OLD Segment Data 2005-2019'!BT24+'OLD Segment Data 2005-2019'!BS24+'OLD Segment Data 2005-2019'!BR24+'OLD Segment Data 2005-2019'!BQ24</f>
        <v>191.70100000000002</v>
      </c>
      <c r="BJ24" s="95"/>
      <c r="BK24" s="95">
        <f>SUM(BK17:BK23)</f>
        <v>204.20000000000002</v>
      </c>
      <c r="BL24" s="96">
        <f>+'OLD Segment Data 2005-2019'!BX24+'OLD Segment Data 2005-2019'!BW24+'OLD Segment Data 2005-2019'!BT24+'OLD Segment Data 2005-2019'!BS24</f>
        <v>230.8</v>
      </c>
      <c r="BM24" s="95">
        <f>+'OLD Segment Data 2005-2019'!BY24+'OLD Segment Data 2005-2019'!BX24+'OLD Segment Data 2005-2019'!BW24+'OLD Segment Data 2005-2019'!BT24</f>
        <v>248.79999999999998</v>
      </c>
      <c r="BN24" s="96">
        <f>+'OLD Segment Data 2005-2019'!CA24</f>
        <v>141.80000000000001</v>
      </c>
      <c r="BO24" s="95"/>
      <c r="BP24" s="95">
        <f>+'OLD Segment Data 2005-2019'!CA24+'OLD Segment Data 2005-2019'!CC24-'OLD Segment Data 2005-2019'!BW19-'OLD Segment Data 2005-2019'!BW22</f>
        <v>145</v>
      </c>
      <c r="BQ24" s="96">
        <f>+'OLD Segment Data 2005-2019'!CA24+'OLD Segment Data 2005-2019'!CC24+'OLD Segment Data 2005-2019'!CD24-'OLD Segment Data 2005-2019'!BW19-'OLD Segment Data 2005-2019'!BW22-'OLD Segment Data 2005-2019'!BX19-'OLD Segment Data 2005-2019'!BX22</f>
        <v>134.5</v>
      </c>
      <c r="BR24" s="95">
        <f>+'OLD Segment Data 2005-2019'!CE24+'OLD Segment Data 2005-2019'!CD24+'OLD Segment Data 2005-2019'!CC24+'OLD Segment Data 2005-2019'!BZ24</f>
        <v>119.10000000000001</v>
      </c>
      <c r="BS24" s="96">
        <f>+'OLD Segment Data 2005-2019'!CG24</f>
        <v>79.3</v>
      </c>
      <c r="BT24" s="95"/>
      <c r="BU24" s="95">
        <f>+'OLD Segment Data 2005-2019'!CI24+'OLD Segment Data 2005-2019'!CF24+'OLD Segment Data 2005-2019'!CE24+'OLD Segment Data 2005-2019'!CD24</f>
        <v>57.600000000000009</v>
      </c>
      <c r="BV24" s="96">
        <f>+'OLD Segment Data 2005-2019'!CJ24+'OLD Segment Data 2005-2019'!CI24+'OLD Segment Data 2005-2019'!CF24+'OLD Segment Data 2005-2019'!CE24</f>
        <v>37.800000000000011</v>
      </c>
      <c r="BW24" s="95">
        <f>+'OLD Segment Data 2005-2019'!CK24+'OLD Segment Data 2005-2019'!CJ24+'OLD Segment Data 2005-2019'!CI24+'OLD Segment Data 2005-2019'!CF24</f>
        <v>21.000000000000011</v>
      </c>
      <c r="BX24" s="96">
        <f>+'OLD Segment Data 2005-2019'!CM24</f>
        <v>29.700000000000003</v>
      </c>
    </row>
    <row r="25" spans="1:76" s="47" customFormat="1" x14ac:dyDescent="0.2">
      <c r="C25" s="104"/>
      <c r="D25" s="105"/>
      <c r="E25" s="104"/>
      <c r="F25" s="105"/>
      <c r="G25" s="104"/>
      <c r="H25" s="104"/>
      <c r="I25" s="105"/>
      <c r="J25" s="104"/>
      <c r="K25" s="105"/>
      <c r="L25" s="104"/>
      <c r="M25" s="104"/>
      <c r="N25" s="105"/>
      <c r="O25" s="104"/>
      <c r="P25" s="105"/>
      <c r="Q25" s="104"/>
      <c r="R25" s="104"/>
      <c r="S25" s="105"/>
      <c r="T25" s="104"/>
      <c r="U25" s="105"/>
      <c r="V25" s="104"/>
      <c r="W25" s="104"/>
      <c r="X25" s="105"/>
      <c r="Y25" s="104"/>
      <c r="Z25" s="105"/>
      <c r="AA25" s="104"/>
      <c r="AB25" s="104"/>
      <c r="AC25" s="105"/>
      <c r="AD25" s="104"/>
      <c r="AE25" s="105"/>
      <c r="AF25" s="104"/>
      <c r="AG25" s="104"/>
      <c r="AH25" s="105"/>
      <c r="AI25" s="104"/>
      <c r="AJ25" s="105"/>
      <c r="AK25" s="104"/>
      <c r="AL25" s="104"/>
      <c r="AM25" s="105"/>
      <c r="AN25" s="104"/>
      <c r="AO25" s="105"/>
      <c r="AP25" s="104"/>
      <c r="AQ25" s="104"/>
      <c r="AR25" s="105"/>
      <c r="AS25" s="104"/>
      <c r="AT25" s="105"/>
      <c r="AU25" s="104"/>
      <c r="AV25" s="104"/>
      <c r="AW25" s="105"/>
      <c r="AX25" s="104"/>
      <c r="AY25" s="105"/>
      <c r="AZ25" s="104"/>
      <c r="BA25" s="104"/>
      <c r="BB25" s="105"/>
      <c r="BC25" s="104"/>
      <c r="BD25" s="105"/>
      <c r="BE25" s="104"/>
      <c r="BF25" s="104"/>
      <c r="BG25" s="105"/>
      <c r="BH25" s="104"/>
      <c r="BI25" s="105"/>
      <c r="BJ25" s="104"/>
      <c r="BK25" s="104"/>
      <c r="BL25" s="105"/>
      <c r="BM25" s="104"/>
      <c r="BN25" s="105"/>
      <c r="BO25" s="104"/>
      <c r="BP25" s="104"/>
      <c r="BQ25" s="105"/>
      <c r="BR25" s="104"/>
      <c r="BS25" s="105"/>
      <c r="BT25" s="104"/>
      <c r="BU25" s="104"/>
      <c r="BV25" s="105"/>
      <c r="BW25" s="104"/>
      <c r="BX25" s="105"/>
    </row>
    <row r="26" spans="1:76" x14ac:dyDescent="0.2">
      <c r="A26" s="2" t="s">
        <v>37</v>
      </c>
      <c r="C26" s="24">
        <f>C24-C27</f>
        <v>78.120805369127538</v>
      </c>
      <c r="D26" s="69">
        <f>D24-D27</f>
        <v>80.939597315436231</v>
      </c>
      <c r="E26" s="24">
        <f>E24-E27</f>
        <v>88.053691275167765</v>
      </c>
      <c r="F26" s="69">
        <f>F24-F27</f>
        <v>96.241610738255034</v>
      </c>
      <c r="G26" s="24"/>
      <c r="H26" s="24">
        <f>H24-H27</f>
        <v>103.75838926174497</v>
      </c>
      <c r="I26" s="69">
        <f>I24-I27</f>
        <v>113.28859060402687</v>
      </c>
      <c r="J26" s="24">
        <f>J24-J27</f>
        <v>122.28187919463086</v>
      </c>
      <c r="K26" s="69">
        <f>K24-K27</f>
        <v>125.1006711409396</v>
      </c>
      <c r="L26" s="24"/>
      <c r="M26" s="24">
        <f>M24-M27</f>
        <v>149.79865771812078</v>
      </c>
      <c r="N26" s="69">
        <f>N24-N27</f>
        <v>161.61073825503354</v>
      </c>
      <c r="O26" s="24">
        <f>O24-O27</f>
        <v>167.51677852348996</v>
      </c>
      <c r="P26" s="69">
        <f>P24-P27</f>
        <v>185.36912751677852</v>
      </c>
      <c r="Q26" s="24"/>
      <c r="R26" s="24">
        <f>R24-R27</f>
        <v>192.48322147651004</v>
      </c>
      <c r="S26" s="69">
        <f>S24-S27</f>
        <v>200.80536912751677</v>
      </c>
      <c r="T26" s="24">
        <f>T24-T27</f>
        <v>204.69798657718121</v>
      </c>
      <c r="U26" s="69">
        <f>U24-U27</f>
        <v>178.52348993288589</v>
      </c>
      <c r="V26" s="24"/>
      <c r="W26" s="24">
        <f>W24-W27</f>
        <v>156.6442953020134</v>
      </c>
      <c r="X26" s="69">
        <f>X24-X27</f>
        <v>135.83892617449663</v>
      </c>
      <c r="Y26" s="24">
        <f>Y24-Y27</f>
        <v>123.35570469798657</v>
      </c>
      <c r="Z26" s="69">
        <f>Z24-Z27</f>
        <v>129.66442953020135</v>
      </c>
      <c r="AA26" s="24"/>
      <c r="AB26" s="24">
        <f>AB24-AB27</f>
        <v>141.20805369127518</v>
      </c>
      <c r="AC26" s="69">
        <f>AC24-AC27</f>
        <v>138.65771812080536</v>
      </c>
      <c r="AD26" s="24">
        <f>AD24-AD27</f>
        <v>139.59731543624162</v>
      </c>
      <c r="AE26" s="69">
        <f>AE24-AE27</f>
        <v>133.69127516778525</v>
      </c>
      <c r="AF26" s="24"/>
      <c r="AG26" s="24">
        <f>AG24-AG27</f>
        <v>132.08053691275168</v>
      </c>
      <c r="AH26" s="69">
        <f>AH24-AH27</f>
        <v>123.08724832214766</v>
      </c>
      <c r="AI26" s="24">
        <f>AI24-AI27</f>
        <v>127.65100671140938</v>
      </c>
      <c r="AJ26" s="69">
        <f>AJ24-AJ27</f>
        <v>138.92617449664431</v>
      </c>
      <c r="AK26" s="24"/>
      <c r="AL26" s="24">
        <f>AL24-AL27</f>
        <v>139.06040268456377</v>
      </c>
      <c r="AM26" s="69">
        <f>AM24-AM27</f>
        <v>142.28187919463087</v>
      </c>
      <c r="AN26" s="24">
        <f>AN24-AN27</f>
        <v>134.09395973154361</v>
      </c>
      <c r="AO26" s="69">
        <f>AO24-AO27</f>
        <v>138.255033557047</v>
      </c>
      <c r="AP26" s="24"/>
      <c r="AQ26" s="24">
        <f>AQ24-AQ27</f>
        <v>137.04697986577179</v>
      </c>
      <c r="AR26" s="69">
        <f>AR24-AR27</f>
        <v>142.28187919463087</v>
      </c>
      <c r="AS26" s="24">
        <f>AS24-AS27</f>
        <v>142.55033557046977</v>
      </c>
      <c r="AT26" s="69">
        <f>AT24-AT27</f>
        <v>144.83221476510067</v>
      </c>
      <c r="AU26" s="24"/>
      <c r="AV26" s="24">
        <f>AV24-AV27</f>
        <v>149.12751677852347</v>
      </c>
      <c r="AW26" s="69">
        <f>AW24-AW27</f>
        <v>155.1677852348993</v>
      </c>
      <c r="AX26" s="24">
        <f>AX24-AX27</f>
        <v>157.18120805369128</v>
      </c>
      <c r="AY26" s="69">
        <f>AY24-AY27</f>
        <v>167.51677852348993</v>
      </c>
      <c r="AZ26" s="24"/>
      <c r="BA26" s="24">
        <f>BA24-BA27</f>
        <v>171.54362416107384</v>
      </c>
      <c r="BB26" s="69">
        <f>BB24-BB27</f>
        <v>188.05369127516778</v>
      </c>
      <c r="BC26" s="24">
        <f>BC24-BC27</f>
        <v>187.11409395973155</v>
      </c>
      <c r="BD26" s="69">
        <f>BD24-BD27</f>
        <v>171.56040268456374</v>
      </c>
      <c r="BE26" s="24"/>
      <c r="BF26" s="24">
        <f>BF24-BF27</f>
        <v>172.24126845637582</v>
      </c>
      <c r="BG26" s="69">
        <f>BG24-BG27</f>
        <v>165.03657046979865</v>
      </c>
      <c r="BH26" s="24">
        <f>BH24-BH27</f>
        <v>176.50099999999998</v>
      </c>
      <c r="BI26" s="69">
        <f>BI24-BI27</f>
        <v>185.40100000000001</v>
      </c>
      <c r="BJ26" s="24"/>
      <c r="BK26" s="24">
        <f>BK24-BK27</f>
        <v>199.70000000000002</v>
      </c>
      <c r="BL26" s="69">
        <f>BL24-BL27</f>
        <v>225.3</v>
      </c>
      <c r="BM26" s="24">
        <f>BM24-BM27</f>
        <v>244.99999999999997</v>
      </c>
      <c r="BN26" s="69">
        <f>+'OLD Segment Data 2005-2019'!CA19</f>
        <v>138.30000000000001</v>
      </c>
      <c r="BO26" s="24"/>
      <c r="BP26" s="24">
        <f>BP24-BP27</f>
        <v>140.9</v>
      </c>
      <c r="BQ26" s="69">
        <f>BQ24-BQ27</f>
        <v>130.1</v>
      </c>
      <c r="BR26" s="24">
        <f>BR24-BR27</f>
        <v>112.4</v>
      </c>
      <c r="BS26" s="69">
        <f>BS24-BS27</f>
        <v>70.3</v>
      </c>
      <c r="BT26" s="24"/>
      <c r="BU26" s="24">
        <f>BU24-BU27</f>
        <v>47.500000000000007</v>
      </c>
      <c r="BV26" s="69">
        <f>BV24-BV27</f>
        <v>24.800000000000011</v>
      </c>
      <c r="BW26" s="24">
        <f>BW24-BW27</f>
        <v>5.6000000000000121</v>
      </c>
      <c r="BX26" s="69">
        <f>BX24-BX27</f>
        <v>15.100000000000001</v>
      </c>
    </row>
    <row r="27" spans="1:76" x14ac:dyDescent="0.2">
      <c r="A27" s="2" t="s">
        <v>38</v>
      </c>
      <c r="C27" s="24">
        <v>-7.2483221476510069</v>
      </c>
      <c r="D27" s="69">
        <v>-5.3691275167785237</v>
      </c>
      <c r="E27" s="24">
        <v>-2.9530201342281877</v>
      </c>
      <c r="F27" s="69">
        <v>-1.0738255033557047</v>
      </c>
      <c r="G27" s="24"/>
      <c r="H27" s="24">
        <f>'OLD Segment Data 2005-2019'!D35+'OLD Segment Data 2005-2019'!E35+'OLD Segment Data 2005-2019'!F35+'OLD Segment Data 2005-2019'!I35</f>
        <v>-1.7449664429530203</v>
      </c>
      <c r="I27" s="69">
        <f>'OLD Segment Data 2005-2019'!J35+'OLD Segment Data 2005-2019'!I35+'OLD Segment Data 2005-2019'!F35+'OLD Segment Data 2005-2019'!E35</f>
        <v>-2.0134228187919461</v>
      </c>
      <c r="J27" s="24">
        <f>'OLD Segment Data 2005-2019'!K35+'OLD Segment Data 2005-2019'!J35+'OLD Segment Data 2005-2019'!I35+'OLD Segment Data 2005-2019'!F35</f>
        <v>-2.8187919463087248</v>
      </c>
      <c r="K27" s="69">
        <f>'OLD Segment Data 2005-2019'!M35</f>
        <v>-2.4161073825503356</v>
      </c>
      <c r="L27" s="24"/>
      <c r="M27" s="24">
        <v>-2.9530201342281877</v>
      </c>
      <c r="N27" s="69">
        <v>-2.4161073825503356</v>
      </c>
      <c r="O27" s="24">
        <v>-1.8791946308724832</v>
      </c>
      <c r="P27" s="69">
        <v>-2.4161073825503356</v>
      </c>
      <c r="Q27" s="24"/>
      <c r="R27" s="24">
        <v>-2.9530201342281877</v>
      </c>
      <c r="S27" s="69">
        <v>-2.6845637583892619</v>
      </c>
      <c r="T27" s="24">
        <v>-2.9530201342281877</v>
      </c>
      <c r="U27" s="69">
        <v>-4.0268456375838921</v>
      </c>
      <c r="V27" s="24"/>
      <c r="W27" s="24">
        <v>-3.3557046979865772</v>
      </c>
      <c r="X27" s="69">
        <v>-4.9664429530201337</v>
      </c>
      <c r="Y27" s="24">
        <v>-5.5033557046979862</v>
      </c>
      <c r="Z27" s="69">
        <v>-4.1610738255033555</v>
      </c>
      <c r="AA27" s="24"/>
      <c r="AB27" s="24">
        <v>-3.8926174496644292</v>
      </c>
      <c r="AC27" s="69">
        <v>-2.9530201342281877</v>
      </c>
      <c r="AD27" s="24">
        <v>-2.0134228187919461</v>
      </c>
      <c r="AE27" s="69">
        <v>-1.4765100671140938</v>
      </c>
      <c r="AF27" s="24"/>
      <c r="AG27" s="24">
        <v>-1.7449664429530201</v>
      </c>
      <c r="AH27" s="69">
        <v>-1.2080536912751678</v>
      </c>
      <c r="AI27" s="24">
        <v>-0.53691275167785235</v>
      </c>
      <c r="AJ27" s="69">
        <v>0.13422818791946309</v>
      </c>
      <c r="AK27" s="24"/>
      <c r="AL27" s="24">
        <f>(+'OLD Segment Data 2005-2019'!AS35+'OLD Segment Data 2005-2019'!AP35+'OLD Segment Data 2005-2019'!AO35+'OLD Segment Data 2005-2019'!AN35)</f>
        <v>1.0738255033557047</v>
      </c>
      <c r="AM27" s="69">
        <f>('OLD Segment Data 2005-2019'!AO35+'OLD Segment Data 2005-2019'!AP35+'OLD Segment Data 2005-2019'!AS35+'OLD Segment Data 2005-2019'!AT35)</f>
        <v>0.67114093959731524</v>
      </c>
      <c r="AN27" s="24">
        <f>('OLD Segment Data 2005-2019'!AP35+'OLD Segment Data 2005-2019'!AS35+'OLD Segment Data 2005-2019'!AT35+'OLD Segment Data 2005-2019'!AU35)</f>
        <v>0.13422818791946303</v>
      </c>
      <c r="AO27" s="69">
        <f>('OLD Segment Data 2005-2019'!AW35)</f>
        <v>1.2080536912751674</v>
      </c>
      <c r="AP27" s="24"/>
      <c r="AQ27" s="24">
        <f>(+'OLD Segment Data 2005-2019'!AY35+'OLD Segment Data 2005-2019'!AV35+'OLD Segment Data 2005-2019'!AU35+'OLD Segment Data 2005-2019'!AT35)</f>
        <v>0.67114093959731524</v>
      </c>
      <c r="AR27" s="69">
        <f>('OLD Segment Data 2005-2019'!AU35+'OLD Segment Data 2005-2019'!AV35+'OLD Segment Data 2005-2019'!AY35+'OLD Segment Data 2005-2019'!AZ35)</f>
        <v>1.0738255033557043</v>
      </c>
      <c r="AS27" s="24">
        <f>('OLD Segment Data 2005-2019'!AV35+'OLD Segment Data 2005-2019'!AY35+'OLD Segment Data 2005-2019'!AZ35+'OLD Segment Data 2005-2019'!BA35)</f>
        <v>1.4765100671140938</v>
      </c>
      <c r="AT27" s="69">
        <f>('OLD Segment Data 2005-2019'!BC35)</f>
        <v>0.80536912751677847</v>
      </c>
      <c r="AU27" s="24"/>
      <c r="AV27" s="24">
        <f>(+'OLD Segment Data 2005-2019'!BE35+'OLD Segment Data 2005-2019'!BB35+'OLD Segment Data 2005-2019'!BA35+'OLD Segment Data 2005-2019'!AZ35)</f>
        <v>1.476510067114094</v>
      </c>
      <c r="AW27" s="69">
        <f>(+'OLD Segment Data 2005-2019'!BF35+'OLD Segment Data 2005-2019'!BE35+'OLD Segment Data 2005-2019'!BB35+'OLD Segment Data 2005-2019'!BA35)</f>
        <v>1.3422818791946309</v>
      </c>
      <c r="AX27" s="24">
        <f>('OLD Segment Data 2005-2019'!BB35+'OLD Segment Data 2005-2019'!BE35+'OLD Segment Data 2005-2019'!BF35+'OLD Segment Data 2005-2019'!BG35)</f>
        <v>1.2080536912751678</v>
      </c>
      <c r="AY27" s="69">
        <f>('OLD Segment Data 2005-2019'!BE35+'OLD Segment Data 2005-2019'!BF35+'OLD Segment Data 2005-2019'!BG35+'OLD Segment Data 2005-2019'!BH35)</f>
        <v>2.8187919463087248</v>
      </c>
      <c r="AZ27" s="24"/>
      <c r="BA27" s="24">
        <f>+'OLD Segment Data 2005-2019'!BK35+'OLD Segment Data 2005-2019'!BH35+'OLD Segment Data 2005-2019'!BG35+'OLD Segment Data 2005-2019'!BF35</f>
        <v>2.6845637583892614</v>
      </c>
      <c r="BB27" s="69">
        <f>+'OLD Segment Data 2005-2019'!BL35+'OLD Segment Data 2005-2019'!BK35+'OLD Segment Data 2005-2019'!BH35+'OLD Segment Data 2005-2019'!BG35</f>
        <v>1.879194630872483</v>
      </c>
      <c r="BC27" s="24">
        <f>+'OLD Segment Data 2005-2019'!BM35+'OLD Segment Data 2005-2019'!BL35+'OLD Segment Data 2005-2019'!BK35+'OLD Segment Data 2005-2019'!BH35</f>
        <v>3.624161073825503</v>
      </c>
      <c r="BD27" s="69">
        <f>+'OLD Segment Data 2005-2019'!BO22</f>
        <v>3.6711409395973154</v>
      </c>
      <c r="BE27" s="24"/>
      <c r="BF27" s="24">
        <f>+'OLD Segment Data 2005-2019'!BQ22+'OLD Segment Data 2005-2019'!BN22+'OLD Segment Data 2005-2019'!BM22+'OLD Segment Data 2005-2019'!BL22</f>
        <v>3.5053691275167784</v>
      </c>
      <c r="BG27" s="69">
        <f>+'OLD Segment Data 2005-2019'!BR22+'OLD Segment Data 2005-2019'!BQ22+'OLD Segment Data 2005-2019'!BN22+'OLD Segment Data 2005-2019'!BM22</f>
        <v>4.2791946308724835</v>
      </c>
      <c r="BH27" s="24">
        <f>+'OLD Segment Data 2005-2019'!BS22+'OLD Segment Data 2005-2019'!BR22+'OLD Segment Data 2005-2019'!BQ22+'OLD Segment Data 2005-2019'!BN22</f>
        <v>3.3000000000000003</v>
      </c>
      <c r="BI27" s="69">
        <f>+'OLD Segment Data 2005-2019'!BT22+'OLD Segment Data 2005-2019'!BS22+'OLD Segment Data 2005-2019'!BR22+'OLD Segment Data 2005-2019'!BQ22</f>
        <v>6.3000000000000007</v>
      </c>
      <c r="BJ27" s="24"/>
      <c r="BK27" s="24">
        <f>+'OLD Segment Data 2005-2019'!BW22+'OLD Segment Data 2005-2019'!BT22+'OLD Segment Data 2005-2019'!BS22+'OLD Segment Data 2005-2019'!BR22</f>
        <v>4.5</v>
      </c>
      <c r="BL27" s="69">
        <f>+'OLD Segment Data 2005-2019'!BX22+'OLD Segment Data 2005-2019'!BW22+'OLD Segment Data 2005-2019'!BT22+'OLD Segment Data 2005-2019'!BS22</f>
        <v>5.5</v>
      </c>
      <c r="BM27" s="24">
        <f>+'OLD Segment Data 2005-2019'!BY22+'OLD Segment Data 2005-2019'!BX22+'OLD Segment Data 2005-2019'!BW22+'OLD Segment Data 2005-2019'!BT22</f>
        <v>3.8</v>
      </c>
      <c r="BN27" s="69">
        <f>+'OLD Segment Data 2005-2019'!CA22</f>
        <v>3.5</v>
      </c>
      <c r="BO27" s="24"/>
      <c r="BP27" s="24">
        <f>+'OLD Segment Data 2005-2019'!CC22+'OLD Segment Data 2005-2019'!BY22+'OLD Segment Data 2005-2019'!BX22+'OLD Segment Data 2005-2019'!BZ22</f>
        <v>4.1000000000000005</v>
      </c>
      <c r="BQ27" s="69">
        <f>+'OLD Segment Data 2005-2019'!CD22+'OLD Segment Data 2005-2019'!CC22+'OLD Segment Data 2005-2019'!BZ22+'OLD Segment Data 2005-2019'!BY22</f>
        <v>4.4000000000000004</v>
      </c>
      <c r="BR27" s="24">
        <f>+'OLD Segment Data 2005-2019'!CE22+'OLD Segment Data 2005-2019'!CD22+'OLD Segment Data 2005-2019'!CC22+'OLD Segment Data 2005-2019'!BZ22</f>
        <v>6.7</v>
      </c>
      <c r="BS27" s="69">
        <f>+'OLD Segment Data 2005-2019'!CG22</f>
        <v>9</v>
      </c>
      <c r="BT27" s="24"/>
      <c r="BU27" s="24">
        <f>+'OLD Segment Data 2005-2019'!CI22+'OLD Segment Data 2005-2019'!CF22+'OLD Segment Data 2005-2019'!CE22+'OLD Segment Data 2005-2019'!CD22</f>
        <v>10.1</v>
      </c>
      <c r="BV27" s="69">
        <f>+'OLD Segment Data 2005-2019'!CJ22+'OLD Segment Data 2005-2019'!CI22+'OLD Segment Data 2005-2019'!CF22+'OLD Segment Data 2005-2019'!CE22</f>
        <v>13</v>
      </c>
      <c r="BW27" s="24">
        <f>+'OLD Segment Data 2005-2019'!CK22+'OLD Segment Data 2005-2019'!CJ22+'OLD Segment Data 2005-2019'!CI22+'OLD Segment Data 2005-2019'!CF22</f>
        <v>15.399999999999999</v>
      </c>
      <c r="BX27" s="69">
        <f>+'OLD Segment Data 2005-2019'!CM22</f>
        <v>14.600000000000001</v>
      </c>
    </row>
    <row r="28" spans="1:76" s="44" customFormat="1" x14ac:dyDescent="0.2">
      <c r="A28" s="44" t="s">
        <v>73</v>
      </c>
      <c r="C28" s="95">
        <f>SUM(C26:C27)</f>
        <v>70.872483221476529</v>
      </c>
      <c r="D28" s="96">
        <f>SUM(D26:D27)</f>
        <v>75.570469798657712</v>
      </c>
      <c r="E28" s="95">
        <f>SUM(E26:E27)</f>
        <v>85.100671140939582</v>
      </c>
      <c r="F28" s="96">
        <f>SUM(F26:F27)</f>
        <v>95.167785234899327</v>
      </c>
      <c r="G28" s="95"/>
      <c r="H28" s="95">
        <f>SUM(H26:H27)</f>
        <v>102.01342281879195</v>
      </c>
      <c r="I28" s="96">
        <f>SUM(I26:I27)</f>
        <v>111.27516778523491</v>
      </c>
      <c r="J28" s="95">
        <f>SUM(J26:J27)</f>
        <v>119.46308724832214</v>
      </c>
      <c r="K28" s="96">
        <f>SUM(K26:K27)</f>
        <v>122.68456375838926</v>
      </c>
      <c r="L28" s="95"/>
      <c r="M28" s="95">
        <f>SUM(M26:M27)</f>
        <v>146.8456375838926</v>
      </c>
      <c r="N28" s="96">
        <f>SUM(N26:N27)</f>
        <v>159.1946308724832</v>
      </c>
      <c r="O28" s="95">
        <f>SUM(O26:O27)</f>
        <v>165.63758389261747</v>
      </c>
      <c r="P28" s="96">
        <f>SUM(P26:P27)</f>
        <v>182.95302013422818</v>
      </c>
      <c r="Q28" s="95"/>
      <c r="R28" s="95">
        <f>SUM(R26:R27)</f>
        <v>189.53020134228186</v>
      </c>
      <c r="S28" s="96">
        <f>SUM(S26:S27)</f>
        <v>198.12080536912751</v>
      </c>
      <c r="T28" s="95">
        <f>SUM(T26:T27)</f>
        <v>201.74496644295303</v>
      </c>
      <c r="U28" s="96">
        <f>SUM(U26:U27)</f>
        <v>174.49664429530199</v>
      </c>
      <c r="V28" s="95"/>
      <c r="W28" s="95">
        <f>SUM(W26:W27)</f>
        <v>153.28859060402684</v>
      </c>
      <c r="X28" s="96">
        <f>SUM(X26:X27)</f>
        <v>130.8724832214765</v>
      </c>
      <c r="Y28" s="95">
        <f>SUM(Y26:Y27)</f>
        <v>117.85234899328859</v>
      </c>
      <c r="Z28" s="96">
        <f>SUM(Z26:Z27)</f>
        <v>125.503355704698</v>
      </c>
      <c r="AA28" s="95"/>
      <c r="AB28" s="95">
        <f>SUM(AB26:AB27)</f>
        <v>137.31543624161074</v>
      </c>
      <c r="AC28" s="96">
        <f>SUM(AC26:AC27)</f>
        <v>135.70469798657717</v>
      </c>
      <c r="AD28" s="95">
        <f>SUM(AD26:AD27)</f>
        <v>137.58389261744966</v>
      </c>
      <c r="AE28" s="96">
        <f>SUM(AE26:AE27)</f>
        <v>132.21476510067114</v>
      </c>
      <c r="AF28" s="95"/>
      <c r="AG28" s="95">
        <f>SUM(AG26:AG27)</f>
        <v>130.33557046979865</v>
      </c>
      <c r="AH28" s="96">
        <f>SUM(AH26:AH27)</f>
        <v>121.87919463087249</v>
      </c>
      <c r="AI28" s="95">
        <f>SUM(AI26:AI27)</f>
        <v>127.11409395973153</v>
      </c>
      <c r="AJ28" s="96">
        <f>SUM(AJ26:AJ27)</f>
        <v>139.06040268456377</v>
      </c>
      <c r="AK28" s="95"/>
      <c r="AL28" s="95">
        <f>SUM(AL26:AL27)</f>
        <v>140.13422818791946</v>
      </c>
      <c r="AM28" s="96">
        <f>SUM(AM26:AM27)</f>
        <v>142.95302013422818</v>
      </c>
      <c r="AN28" s="95">
        <f>SUM(AN26:AN27)</f>
        <v>134.22818791946307</v>
      </c>
      <c r="AO28" s="96">
        <f>SUM(AO26:AO27)</f>
        <v>139.46308724832215</v>
      </c>
      <c r="AP28" s="95"/>
      <c r="AQ28" s="95">
        <f>SUM(AQ26:AQ27)</f>
        <v>137.7181208053691</v>
      </c>
      <c r="AR28" s="96">
        <f>SUM(AR26:AR27)</f>
        <v>143.35570469798657</v>
      </c>
      <c r="AS28" s="95">
        <f>SUM(AS26:AS27)</f>
        <v>144.02684563758388</v>
      </c>
      <c r="AT28" s="96">
        <f>SUM(AT26:AT27)</f>
        <v>145.63758389261744</v>
      </c>
      <c r="AU28" s="95"/>
      <c r="AV28" s="95">
        <f>SUM(AV26:AV27)</f>
        <v>150.60402684563758</v>
      </c>
      <c r="AW28" s="96">
        <f>SUM(AW26:AW27)</f>
        <v>156.51006711409394</v>
      </c>
      <c r="AX28" s="95">
        <f>SUM(AX26:AX27)</f>
        <v>158.38926174496643</v>
      </c>
      <c r="AY28" s="96">
        <f>SUM(AY26:AY27)</f>
        <v>170.33557046979865</v>
      </c>
      <c r="AZ28" s="95"/>
      <c r="BA28" s="95">
        <f>SUM(BA26:BA27)</f>
        <v>174.2281879194631</v>
      </c>
      <c r="BB28" s="96">
        <f>SUM(BB26:BB27)</f>
        <v>189.93288590604027</v>
      </c>
      <c r="BC28" s="95">
        <f>SUM(BC26:BC27)</f>
        <v>190.73825503355704</v>
      </c>
      <c r="BD28" s="96">
        <f>SUM(BD26:BD27)</f>
        <v>175.23154362416105</v>
      </c>
      <c r="BE28" s="95"/>
      <c r="BF28" s="95">
        <f>SUM(BF26:BF27)</f>
        <v>175.74663758389261</v>
      </c>
      <c r="BG28" s="96">
        <f>SUM(BG26:BG27)</f>
        <v>169.31576510067114</v>
      </c>
      <c r="BH28" s="95">
        <f>SUM(BH26:BH27)</f>
        <v>179.80099999999999</v>
      </c>
      <c r="BI28" s="96">
        <f>SUM(BI26:BI27)</f>
        <v>191.70100000000002</v>
      </c>
      <c r="BJ28" s="95"/>
      <c r="BK28" s="95">
        <f>SUM(BK26:BK27)</f>
        <v>204.20000000000002</v>
      </c>
      <c r="BL28" s="96">
        <f>SUM(BL26:BL27)</f>
        <v>230.8</v>
      </c>
      <c r="BM28" s="95">
        <f>SUM(BM26:BM27)</f>
        <v>248.79999999999998</v>
      </c>
      <c r="BN28" s="96">
        <f>SUM(BN26:BN27)</f>
        <v>141.80000000000001</v>
      </c>
      <c r="BO28" s="95"/>
      <c r="BP28" s="95">
        <f>SUM(BP26:BP27)</f>
        <v>145</v>
      </c>
      <c r="BQ28" s="96">
        <f>SUM(BQ26:BQ27)</f>
        <v>134.5</v>
      </c>
      <c r="BR28" s="95">
        <f>SUM(BR26:BR27)</f>
        <v>119.10000000000001</v>
      </c>
      <c r="BS28" s="96">
        <f>SUM(BS26:BS27)</f>
        <v>79.3</v>
      </c>
      <c r="BT28" s="95"/>
      <c r="BU28" s="95">
        <f>SUM(BU26:BU27)</f>
        <v>57.600000000000009</v>
      </c>
      <c r="BV28" s="96">
        <f>SUM(BV26:BV27)</f>
        <v>37.800000000000011</v>
      </c>
      <c r="BW28" s="95">
        <f>SUM(BW26:BW27)</f>
        <v>21.000000000000011</v>
      </c>
      <c r="BX28" s="96">
        <f>SUM(BX26:BX27)</f>
        <v>29.700000000000003</v>
      </c>
    </row>
    <row r="29" spans="1:76" s="47" customFormat="1" x14ac:dyDescent="0.2">
      <c r="C29" s="104"/>
      <c r="D29" s="105"/>
      <c r="E29" s="104"/>
      <c r="F29" s="105"/>
      <c r="G29" s="104"/>
      <c r="H29" s="104"/>
      <c r="I29" s="105"/>
      <c r="J29" s="104"/>
      <c r="K29" s="105"/>
      <c r="L29" s="104"/>
      <c r="M29" s="104"/>
      <c r="N29" s="105"/>
      <c r="O29" s="104"/>
      <c r="P29" s="105"/>
      <c r="Q29" s="104"/>
      <c r="R29" s="104"/>
      <c r="S29" s="105"/>
      <c r="T29" s="104"/>
      <c r="U29" s="105"/>
      <c r="V29" s="104"/>
      <c r="W29" s="104"/>
      <c r="X29" s="105"/>
      <c r="Y29" s="104"/>
      <c r="Z29" s="105"/>
      <c r="AA29" s="104"/>
      <c r="AB29" s="104"/>
      <c r="AC29" s="105"/>
      <c r="AD29" s="104"/>
      <c r="AE29" s="105"/>
      <c r="AF29" s="104"/>
      <c r="AG29" s="104"/>
      <c r="AH29" s="105"/>
      <c r="AI29" s="104"/>
      <c r="AJ29" s="105"/>
      <c r="AK29" s="104"/>
      <c r="AL29" s="104"/>
      <c r="AM29" s="105"/>
      <c r="AN29" s="104"/>
      <c r="AO29" s="105"/>
      <c r="AP29" s="104"/>
      <c r="AQ29" s="104"/>
      <c r="AR29" s="105"/>
      <c r="AS29" s="104"/>
      <c r="AT29" s="105"/>
      <c r="AU29" s="104"/>
      <c r="AV29" s="104"/>
      <c r="AW29" s="105"/>
      <c r="AX29" s="104"/>
      <c r="AY29" s="105"/>
      <c r="AZ29" s="104"/>
      <c r="BA29" s="104"/>
      <c r="BB29" s="105"/>
      <c r="BC29" s="104"/>
      <c r="BD29" s="105"/>
      <c r="BE29" s="104"/>
      <c r="BF29" s="104"/>
      <c r="BG29" s="105"/>
      <c r="BH29" s="104"/>
      <c r="BI29" s="105"/>
      <c r="BJ29" s="104"/>
      <c r="BK29" s="104"/>
      <c r="BL29" s="105"/>
      <c r="BM29" s="104"/>
      <c r="BN29" s="105"/>
      <c r="BO29" s="104"/>
      <c r="BP29" s="104"/>
      <c r="BQ29" s="105"/>
      <c r="BR29" s="104"/>
      <c r="BS29" s="105"/>
      <c r="BT29" s="104"/>
      <c r="BU29" s="104"/>
      <c r="BV29" s="105"/>
      <c r="BW29" s="104"/>
      <c r="BX29" s="105"/>
    </row>
    <row r="30" spans="1:76" x14ac:dyDescent="0.2">
      <c r="D30" s="42"/>
      <c r="F30" s="42"/>
      <c r="I30" s="42"/>
      <c r="K30" s="42"/>
      <c r="N30" s="42"/>
      <c r="P30" s="42"/>
      <c r="S30" s="42"/>
      <c r="U30" s="42"/>
      <c r="X30" s="42"/>
      <c r="Z30" s="42"/>
      <c r="AC30" s="42"/>
      <c r="AE30" s="42"/>
      <c r="AH30" s="42"/>
      <c r="AJ30" s="42"/>
      <c r="AM30" s="42"/>
      <c r="AO30" s="42"/>
      <c r="AR30" s="42"/>
      <c r="AT30" s="42"/>
      <c r="AW30" s="42"/>
      <c r="AY30" s="42"/>
      <c r="BB30" s="42"/>
      <c r="BD30" s="42"/>
      <c r="BG30" s="42"/>
      <c r="BI30" s="42"/>
      <c r="BL30" s="42"/>
      <c r="BN30" s="42"/>
      <c r="BQ30" s="42"/>
      <c r="BS30" s="42"/>
      <c r="BV30" s="42"/>
      <c r="BX30" s="42"/>
    </row>
    <row r="31" spans="1:76" x14ac:dyDescent="0.2">
      <c r="A31" s="1" t="s">
        <v>39</v>
      </c>
      <c r="D31" s="42"/>
      <c r="F31" s="42"/>
      <c r="I31" s="42"/>
      <c r="K31" s="42"/>
      <c r="N31" s="42"/>
      <c r="P31" s="42"/>
      <c r="S31" s="42"/>
      <c r="U31" s="42"/>
      <c r="X31" s="42"/>
      <c r="Z31" s="42"/>
      <c r="AC31" s="42"/>
      <c r="AE31" s="42"/>
      <c r="AH31" s="42"/>
      <c r="AJ31" s="42"/>
      <c r="AM31" s="42"/>
      <c r="AO31" s="42"/>
      <c r="AR31" s="42"/>
      <c r="AT31" s="42"/>
      <c r="AW31" s="42"/>
      <c r="AY31" s="42"/>
      <c r="BB31" s="42"/>
      <c r="BD31" s="42"/>
      <c r="BG31" s="42"/>
      <c r="BI31" s="42"/>
      <c r="BL31" s="42"/>
      <c r="BN31" s="42"/>
      <c r="BQ31" s="42"/>
      <c r="BS31" s="42"/>
      <c r="BV31" s="42"/>
      <c r="BX31" s="42"/>
    </row>
    <row r="32" spans="1:76" x14ac:dyDescent="0.2">
      <c r="A32" s="2" t="s">
        <v>97</v>
      </c>
      <c r="C32" s="25">
        <f>C15/C28</f>
        <v>8.6590909090909065</v>
      </c>
      <c r="D32" s="56">
        <f>D15/D28</f>
        <v>11.063055062166963</v>
      </c>
      <c r="E32" s="25">
        <f>E15/E28</f>
        <v>11.120646687697162</v>
      </c>
      <c r="F32" s="56">
        <f>F15/F28</f>
        <v>10.735056417489421</v>
      </c>
      <c r="H32" s="25">
        <f>H15/H28</f>
        <v>10.51138815789473</v>
      </c>
      <c r="I32" s="56">
        <f>I15/I28</f>
        <v>11.899218335343784</v>
      </c>
      <c r="J32" s="25">
        <f>J15/J28</f>
        <v>12.960139325842697</v>
      </c>
      <c r="K32" s="56">
        <f>K15/K28</f>
        <v>14.029831509846828</v>
      </c>
      <c r="M32" s="25">
        <f>M15/M28</f>
        <v>11.426010968921391</v>
      </c>
      <c r="N32" s="56">
        <f>N15/N28</f>
        <v>12.862091062394606</v>
      </c>
      <c r="O32" s="25">
        <f>O15/O28</f>
        <v>13.080356564019446</v>
      </c>
      <c r="P32" s="56">
        <f>P15/P28</f>
        <v>9.4248275862068969</v>
      </c>
      <c r="R32" s="25">
        <f>R15/R28</f>
        <v>7.2734985835694062</v>
      </c>
      <c r="S32" s="56">
        <f>S15/S28</f>
        <v>8.0766395663956647</v>
      </c>
      <c r="T32" s="25">
        <f>T15/T28</f>
        <v>5.7610113107119094</v>
      </c>
      <c r="U32" s="56">
        <f>U15/U28</f>
        <v>3.6952615384615393</v>
      </c>
      <c r="W32" s="25">
        <f>W15/W28</f>
        <v>4.0353590192644484</v>
      </c>
      <c r="X32" s="56">
        <f>X15/X28</f>
        <v>7.0229230769230764</v>
      </c>
      <c r="Y32" s="25">
        <f>Y15/Y28</f>
        <v>11.096902050113895</v>
      </c>
      <c r="Z32" s="56">
        <f>Z15/Z28</f>
        <v>10.294374331550801</v>
      </c>
      <c r="AB32" s="25">
        <f>AB15/AB28</f>
        <v>10.388484848484849</v>
      </c>
      <c r="AC32" s="56">
        <f>AC15/AC28</f>
        <v>10.184089020771514</v>
      </c>
      <c r="AD32" s="25">
        <f>AD15/AD28</f>
        <v>10.282409756097561</v>
      </c>
      <c r="AE32" s="56">
        <f>AE15/AE28</f>
        <v>11.308951269035534</v>
      </c>
      <c r="AG32" s="25">
        <f>AG15/AG28</f>
        <v>12.499599573635427</v>
      </c>
      <c r="AH32" s="56">
        <f>AH15/AH28</f>
        <v>14.020178707048457</v>
      </c>
      <c r="AI32" s="25">
        <f>AI15/AI28</f>
        <v>10.091269174234425</v>
      </c>
      <c r="AJ32" s="56">
        <f>AJ15/AJ28</f>
        <v>8.6439824459459444</v>
      </c>
      <c r="AL32" s="25">
        <f>AL15/AL28</f>
        <v>10.100465565134099</v>
      </c>
      <c r="AM32" s="56">
        <f>AM15/AM28</f>
        <v>1.7259061032863827</v>
      </c>
      <c r="AN32" s="25">
        <f>AN15/AN28</f>
        <v>2.0658219999999994</v>
      </c>
      <c r="AO32" s="56">
        <f>AO15/AO28</f>
        <v>2.8445081809432153</v>
      </c>
      <c r="AQ32" s="25">
        <f>AQ15/AQ28</f>
        <v>7.7351345029239766</v>
      </c>
      <c r="AR32" s="56">
        <f>AR15/AR28</f>
        <v>7.3103220973782781</v>
      </c>
      <c r="AS32" s="25">
        <f>AS15/AS28</f>
        <v>8.6633010251630953</v>
      </c>
      <c r="AT32" s="56">
        <f>AT15/AT28</f>
        <v>7.8438746543778803</v>
      </c>
      <c r="AV32" s="25">
        <f>AV15/AV28</f>
        <v>8.4635454545454554</v>
      </c>
      <c r="AW32" s="56">
        <f>AW15/AW28</f>
        <v>9.3795180102915978</v>
      </c>
      <c r="AX32" s="25">
        <f>AX15/AX28</f>
        <v>8.3716313559322018</v>
      </c>
      <c r="AY32" s="56">
        <f>AY15/AY28</f>
        <v>7.1406808510638298</v>
      </c>
      <c r="BA32" s="25">
        <f>BA15/BA28</f>
        <v>9.2892950693374416</v>
      </c>
      <c r="BB32" s="56">
        <f>BB15/BB28</f>
        <v>7.5638558303886931</v>
      </c>
      <c r="BC32" s="25">
        <f>BC15/BC28</f>
        <v>6.8552906403940881</v>
      </c>
      <c r="BD32" s="56">
        <f>BD15/BD28</f>
        <v>7.1054007162144064</v>
      </c>
      <c r="BF32" s="25">
        <f>BF15/BF28</f>
        <v>7.8900571059260942</v>
      </c>
      <c r="BG32" s="56">
        <f>BG15/BG28</f>
        <v>7.4611944823795131</v>
      </c>
      <c r="BH32" s="25">
        <f>BH15/BH28</f>
        <v>8.4462654816478864</v>
      </c>
      <c r="BI32" s="56">
        <f>BI15/BI28</f>
        <v>9.0192784491816784</v>
      </c>
      <c r="BK32" s="25">
        <f>BK15/BK28</f>
        <v>12.131488407864376</v>
      </c>
      <c r="BL32" s="56">
        <f>BL15/BL28</f>
        <v>11.446965326323381</v>
      </c>
      <c r="BM32" s="25">
        <f>BM15/BM28</f>
        <v>10.782310257018926</v>
      </c>
      <c r="BN32" s="56">
        <f>BN15/BN28</f>
        <v>9.3344421200102232</v>
      </c>
      <c r="BP32" s="25">
        <f>BP15/BP28</f>
        <v>7.9309761629252487</v>
      </c>
      <c r="BQ32" s="56">
        <f>BQ15/BQ28</f>
        <v>7.7820663157106873</v>
      </c>
      <c r="BR32" s="25">
        <f>BR15/BR28</f>
        <v>8.9467617872297254</v>
      </c>
      <c r="BS32" s="56">
        <f>BS15/BS28</f>
        <v>9.1339366913576914</v>
      </c>
      <c r="BU32" s="25">
        <f>BU15/BU28</f>
        <v>16.015117664581467</v>
      </c>
      <c r="BV32" s="56">
        <f>BV15/BV28</f>
        <v>22.744854390966985</v>
      </c>
      <c r="BW32" s="25">
        <f>BW15/BW28</f>
        <v>46.848270139154835</v>
      </c>
      <c r="BX32" s="56">
        <f>BX15/BX28</f>
        <v>33.094916998402248</v>
      </c>
    </row>
    <row r="33" spans="1:76" x14ac:dyDescent="0.2">
      <c r="A33" s="2" t="s">
        <v>98</v>
      </c>
      <c r="C33" s="25">
        <f>C15/C26</f>
        <v>7.8556701030927805</v>
      </c>
      <c r="D33" s="56">
        <f>D15/D26</f>
        <v>10.329187396351577</v>
      </c>
      <c r="E33" s="25">
        <f>E15/E26</f>
        <v>10.747698170731709</v>
      </c>
      <c r="F33" s="56">
        <f>F15/F26</f>
        <v>10.615278940027892</v>
      </c>
      <c r="H33" s="25">
        <f>H15/H26</f>
        <v>10.334611901681754</v>
      </c>
      <c r="I33" s="56">
        <f>I15/I26</f>
        <v>11.687739336492886</v>
      </c>
      <c r="J33" s="25">
        <f>J15/J26</f>
        <v>12.661387486278814</v>
      </c>
      <c r="K33" s="56">
        <f>K15/K26</f>
        <v>13.758869098712447</v>
      </c>
      <c r="M33" s="25">
        <f>M15/M26</f>
        <v>11.200767025089608</v>
      </c>
      <c r="N33" s="56">
        <f>N15/N26</f>
        <v>12.669800664451829</v>
      </c>
      <c r="O33" s="25">
        <f>O15/O26</f>
        <v>12.933621794871792</v>
      </c>
      <c r="P33" s="56">
        <f>P15/P26</f>
        <v>9.3019840695148446</v>
      </c>
      <c r="R33" s="25">
        <f>R15/R26</f>
        <v>7.1619107391910752</v>
      </c>
      <c r="S33" s="56">
        <f>S15/S26</f>
        <v>7.968663101604279</v>
      </c>
      <c r="T33" s="25">
        <f>T15/T26</f>
        <v>5.6779016393442623</v>
      </c>
      <c r="U33" s="56">
        <f>U15/U26</f>
        <v>3.6119097744360906</v>
      </c>
      <c r="W33" s="25">
        <f>W15/W26</f>
        <v>3.9489117395029996</v>
      </c>
      <c r="X33" s="56">
        <f>X15/X26</f>
        <v>6.7661561264822128</v>
      </c>
      <c r="Y33" s="25">
        <f>Y15/Y26</f>
        <v>10.601828073993472</v>
      </c>
      <c r="Z33" s="56">
        <f>Z15/Z26</f>
        <v>9.9640165631469966</v>
      </c>
      <c r="AB33" s="25">
        <f>AB15/AB26</f>
        <v>10.102110266159695</v>
      </c>
      <c r="AC33" s="56">
        <f>AC15/AC26</f>
        <v>9.9671965150048401</v>
      </c>
      <c r="AD33" s="25">
        <f>AD15/AD26</f>
        <v>10.134105769230768</v>
      </c>
      <c r="AE33" s="56">
        <f>AE15/AE26</f>
        <v>11.184053212851405</v>
      </c>
      <c r="AG33" s="25">
        <f>AG15/AG26</f>
        <v>12.334462587398374</v>
      </c>
      <c r="AH33" s="56">
        <f>AH15/AH26</f>
        <v>13.882576080697925</v>
      </c>
      <c r="AI33" s="25">
        <f>AI15/AI26</f>
        <v>10.048824298633019</v>
      </c>
      <c r="AJ33" s="56">
        <f>AJ15/AJ26</f>
        <v>8.6523341198067616</v>
      </c>
      <c r="AL33" s="25">
        <f>AL15/AL26</f>
        <v>10.178461438223938</v>
      </c>
      <c r="AM33" s="56">
        <f>AM15/AM26</f>
        <v>1.7340471698113185</v>
      </c>
      <c r="AN33" s="25">
        <f>AN15/AN26</f>
        <v>2.0678898898898894</v>
      </c>
      <c r="AO33" s="56">
        <f>AO15/AO26</f>
        <v>2.8693631067961167</v>
      </c>
      <c r="AQ33" s="25">
        <f>AQ15/AQ26</f>
        <v>7.7730146914789424</v>
      </c>
      <c r="AR33" s="56">
        <f>AR15/AR26</f>
        <v>7.365494339622642</v>
      </c>
      <c r="AS33" s="25">
        <f>AS15/AS26</f>
        <v>8.7530338983050875</v>
      </c>
      <c r="AT33" s="56">
        <f>AT15/AT26</f>
        <v>7.8874921223354955</v>
      </c>
      <c r="AV33" s="25">
        <f>AV15/AV26</f>
        <v>8.5473429342934306</v>
      </c>
      <c r="AW33" s="56">
        <f>AW15/AW26</f>
        <v>9.4606557093425643</v>
      </c>
      <c r="AX33" s="25">
        <f>AX15/AX26</f>
        <v>8.4359735269000833</v>
      </c>
      <c r="AY33" s="56">
        <f>AY15/AY26</f>
        <v>7.2608365384615388</v>
      </c>
      <c r="BA33" s="25">
        <f>BA15/BA26</f>
        <v>9.4346674491392797</v>
      </c>
      <c r="BB33" s="56">
        <f>BB15/BB26</f>
        <v>7.6394403997144904</v>
      </c>
      <c r="BC33" s="25">
        <f>BC15/BC26</f>
        <v>6.9880688665710178</v>
      </c>
      <c r="BD33" s="56">
        <f>BD15/BD26</f>
        <v>7.2574458679706622</v>
      </c>
      <c r="BF33" s="25">
        <f>BF15/BF26</f>
        <v>8.0506316467508601</v>
      </c>
      <c r="BG33" s="56">
        <f>BG15/BG26</f>
        <v>7.6546540488138302</v>
      </c>
      <c r="BH33" s="25">
        <f>BH15/BH26</f>
        <v>8.6041834316279893</v>
      </c>
      <c r="BI33" s="56">
        <f>BI15/BI26</f>
        <v>9.3257571317661565</v>
      </c>
      <c r="BK33" s="25">
        <f>BK15/BK26</f>
        <v>12.40485694985431</v>
      </c>
      <c r="BL33" s="56">
        <f>BL15/BL26</f>
        <v>11.72640744480886</v>
      </c>
      <c r="BM33" s="25">
        <f>BM15/BM26</f>
        <v>10.949546089576771</v>
      </c>
      <c r="BN33" s="56">
        <f>BN15/BN26</f>
        <v>9.5706716747465617</v>
      </c>
      <c r="BP33" s="25">
        <f>BP15/BP26</f>
        <v>8.1617568745504681</v>
      </c>
      <c r="BQ33" s="56">
        <f>BQ15/BQ26</f>
        <v>8.0452568751966744</v>
      </c>
      <c r="BR33" s="25">
        <f>BR15/BR26</f>
        <v>9.4800652033724226</v>
      </c>
      <c r="BS33" s="56">
        <f>BS15/BS26</f>
        <v>10.303288472612588</v>
      </c>
      <c r="BU33" s="25">
        <f>BU15/BU26</f>
        <v>19.420437420629316</v>
      </c>
      <c r="BV33" s="56">
        <f>BV15/BV26</f>
        <v>34.667560321715804</v>
      </c>
      <c r="BW33" s="25">
        <f>BW15/BW26</f>
        <v>175.68101302183032</v>
      </c>
      <c r="BX33" s="56">
        <f>BX15/BX26</f>
        <v>65.093975818049458</v>
      </c>
    </row>
    <row r="34" spans="1:76" x14ac:dyDescent="0.2">
      <c r="D34" s="42"/>
      <c r="F34" s="42"/>
      <c r="I34" s="42"/>
      <c r="K34" s="42"/>
      <c r="N34" s="42"/>
      <c r="P34" s="42"/>
      <c r="S34" s="42"/>
      <c r="U34" s="42"/>
      <c r="X34" s="42"/>
      <c r="Z34" s="42"/>
      <c r="AC34" s="42"/>
      <c r="AE34" s="42"/>
      <c r="AH34" s="42"/>
      <c r="AJ34" s="42"/>
      <c r="AM34" s="42"/>
      <c r="AO34" s="42"/>
      <c r="AR34" s="42"/>
      <c r="AT34" s="42"/>
      <c r="AW34" s="42"/>
      <c r="AY34" s="42"/>
      <c r="BB34" s="42"/>
      <c r="BD34" s="42"/>
      <c r="BG34" s="42"/>
      <c r="BI34" s="42"/>
      <c r="BL34" s="42"/>
      <c r="BN34" s="42"/>
      <c r="BQ34" s="42"/>
      <c r="BS34" s="42"/>
      <c r="BV34" s="42"/>
      <c r="BX34" s="42"/>
    </row>
    <row r="35" spans="1:76" x14ac:dyDescent="0.2">
      <c r="A35" s="1" t="s">
        <v>46</v>
      </c>
      <c r="D35" s="42"/>
      <c r="F35" s="42"/>
      <c r="I35" s="42"/>
      <c r="K35" s="42"/>
      <c r="N35" s="42"/>
      <c r="P35" s="42"/>
      <c r="S35" s="42"/>
      <c r="U35" s="42"/>
      <c r="X35" s="42"/>
      <c r="Z35" s="42"/>
      <c r="AC35" s="42"/>
      <c r="AE35" s="42"/>
      <c r="AH35" s="42"/>
      <c r="AJ35" s="42"/>
      <c r="AM35" s="42"/>
      <c r="AO35" s="42"/>
      <c r="AR35" s="42"/>
      <c r="AT35" s="42"/>
      <c r="AW35" s="42"/>
      <c r="AY35" s="42"/>
      <c r="BB35" s="42"/>
      <c r="BD35" s="42"/>
      <c r="BG35" s="42"/>
      <c r="BI35" s="42"/>
      <c r="BL35" s="42"/>
      <c r="BN35" s="42"/>
      <c r="BQ35" s="42"/>
      <c r="BS35" s="42"/>
      <c r="BV35" s="42"/>
      <c r="BX35" s="42"/>
    </row>
    <row r="36" spans="1:76" s="121" customFormat="1" x14ac:dyDescent="0.2">
      <c r="A36" s="121" t="s">
        <v>164</v>
      </c>
      <c r="D36" s="122"/>
      <c r="F36" s="122"/>
      <c r="I36" s="122"/>
      <c r="K36" s="122"/>
      <c r="M36" s="123">
        <f>M14/M24</f>
        <v>1.8162705667276053</v>
      </c>
      <c r="N36" s="124">
        <f>N14/N24</f>
        <v>1.9392917369308604</v>
      </c>
      <c r="O36" s="123">
        <f>O14/O24</f>
        <v>1.8687196110210695</v>
      </c>
      <c r="P36" s="124">
        <f>P14/P24</f>
        <v>1.4636830520909756</v>
      </c>
      <c r="R36" s="123">
        <f>R14/R24</f>
        <v>1.5686968838526913</v>
      </c>
      <c r="S36" s="124">
        <f>S14/S24</f>
        <v>1.9139566395663958</v>
      </c>
      <c r="T36" s="123">
        <f>T14/T24</f>
        <v>1.8769128409846974</v>
      </c>
      <c r="U36" s="124">
        <f>U14/U24</f>
        <v>1.7384615384615387</v>
      </c>
      <c r="W36" s="123">
        <f>W14/W24</f>
        <v>1.9993870402802105</v>
      </c>
      <c r="X36" s="124">
        <f>X14/X24</f>
        <v>2.6536410256410261</v>
      </c>
      <c r="Y36" s="123">
        <f>Y14/Y24</f>
        <v>3.0535307517084282</v>
      </c>
      <c r="Z36" s="124">
        <f>Z14/Z24</f>
        <v>2.9144385026737969</v>
      </c>
      <c r="AB36" s="123">
        <f>AB14/AB24</f>
        <v>3.3176930596285432</v>
      </c>
      <c r="AC36" s="124">
        <f>AC14/AC24</f>
        <v>3.7487636003956482</v>
      </c>
      <c r="AD36" s="123">
        <f>AD14/AD24</f>
        <v>4.0429268292682927</v>
      </c>
      <c r="AE36" s="124">
        <f>AE14/AE24</f>
        <v>4.1675126903553297</v>
      </c>
      <c r="AG36" s="123">
        <f>AG14/AG24</f>
        <v>4.9649845520082394</v>
      </c>
      <c r="AH36" s="124">
        <f>AH14/AH24</f>
        <v>5.4405286343612325</v>
      </c>
      <c r="AI36" s="123">
        <f>AI14/AI24</f>
        <v>5.0380147835269273</v>
      </c>
      <c r="AJ36" s="124">
        <f>AJ14/AJ24</f>
        <v>4.275096525096524</v>
      </c>
      <c r="AL36" s="123">
        <f>AL14/AL24</f>
        <v>4.3017241379310347</v>
      </c>
      <c r="AM36" s="124">
        <f>AM14/AM24</f>
        <v>-2.5276995305164345</v>
      </c>
      <c r="AN36" s="123">
        <f>AN14/AN24</f>
        <v>-2.7510000000000008</v>
      </c>
      <c r="AO36" s="124">
        <f>AO14/AO24</f>
        <v>-1.8373435996150143</v>
      </c>
      <c r="AQ36" s="123">
        <f>AQ14/AQ24</f>
        <v>2.7056530214424956</v>
      </c>
      <c r="AR36" s="124">
        <f>AR14/AR24</f>
        <v>2.6582397003745317</v>
      </c>
      <c r="AS36" s="123">
        <f>AS14/AS24</f>
        <v>2.5657036346691524</v>
      </c>
      <c r="AT36" s="124">
        <f>AT14/AT24</f>
        <v>1.9456221198156685</v>
      </c>
      <c r="AV36" s="123">
        <f>AV14/AV24</f>
        <v>1.7816399286987525</v>
      </c>
      <c r="AW36" s="124">
        <f>AW14/AW24</f>
        <v>1.7221269296740997</v>
      </c>
      <c r="AX36" s="123">
        <f>AX14/AX24</f>
        <v>1.7957627118644068</v>
      </c>
      <c r="AY36" s="124">
        <f>AY14/AY24</f>
        <v>0.89440504334121362</v>
      </c>
      <c r="BA36" s="123">
        <f>BA14/BA24</f>
        <v>1.0184899845916795</v>
      </c>
      <c r="BB36" s="124">
        <f>BB14/BB24</f>
        <v>1.0162544169611307</v>
      </c>
      <c r="BC36" s="123">
        <f>BC14/BC24</f>
        <v>0.87825475017593246</v>
      </c>
      <c r="BD36" s="124">
        <f>BD14/BD24</f>
        <v>0.50732875007181299</v>
      </c>
      <c r="BF36" s="123">
        <f>BF14/BF24</f>
        <v>0.90414247569401796</v>
      </c>
      <c r="BG36" s="124">
        <f>BG14/BG24</f>
        <v>1.1115326436856057</v>
      </c>
      <c r="BH36" s="123">
        <f>BH14/BH24</f>
        <v>0.97107357578656406</v>
      </c>
      <c r="BI36" s="124">
        <f>BI14/BI24</f>
        <v>-0.35680565046609042</v>
      </c>
      <c r="BK36" s="123">
        <v>2.2000000000000002</v>
      </c>
      <c r="BL36" s="124">
        <v>2.6</v>
      </c>
      <c r="BM36" s="123">
        <v>2.6</v>
      </c>
      <c r="BN36" s="124">
        <v>1.9</v>
      </c>
      <c r="BP36" s="123">
        <v>3</v>
      </c>
      <c r="BQ36" s="124">
        <f>BQ14/BQ24</f>
        <v>3.0446096654275094</v>
      </c>
      <c r="BR36" s="123">
        <f>BR14/BR24</f>
        <v>2.5818639798488663</v>
      </c>
      <c r="BS36" s="124">
        <f>BS14/BS24</f>
        <v>3.1311475409836067</v>
      </c>
      <c r="BU36" s="123">
        <f>BU14/BU24</f>
        <v>5.8854166666666661</v>
      </c>
      <c r="BV36" s="124">
        <f>BV14/BV24</f>
        <v>8.891534391534389</v>
      </c>
      <c r="BW36" s="123">
        <f>BW14/BW24</f>
        <v>16.661904761904751</v>
      </c>
      <c r="BX36" s="124">
        <f>BX14/BX24</f>
        <v>8.154882154882154</v>
      </c>
    </row>
    <row r="37" spans="1:76" x14ac:dyDescent="0.2">
      <c r="A37" s="2" t="s">
        <v>166</v>
      </c>
    </row>
    <row r="38" spans="1:76" x14ac:dyDescent="0.2">
      <c r="A38" s="2" t="s">
        <v>165</v>
      </c>
    </row>
    <row r="39" spans="1:76" x14ac:dyDescent="0.2">
      <c r="A39" s="2" t="s">
        <v>167</v>
      </c>
    </row>
    <row r="40" spans="1:76" x14ac:dyDescent="0.2">
      <c r="R40" s="26"/>
    </row>
    <row r="41" spans="1:76" x14ac:dyDescent="0.2">
      <c r="R41" s="26"/>
    </row>
    <row r="43" spans="1:76" x14ac:dyDescent="0.2">
      <c r="R43" s="27"/>
    </row>
    <row r="44" spans="1:76" x14ac:dyDescent="0.2">
      <c r="R44" s="27"/>
    </row>
  </sheetData>
  <mergeCells count="30">
    <mergeCell ref="BP1:BS1"/>
    <mergeCell ref="BP2:BS2"/>
    <mergeCell ref="BK1:BN1"/>
    <mergeCell ref="BK2:BN2"/>
    <mergeCell ref="BF1:BI1"/>
    <mergeCell ref="BF2:BI2"/>
    <mergeCell ref="AL1:AO1"/>
    <mergeCell ref="AL2:AO2"/>
    <mergeCell ref="AB1:AE1"/>
    <mergeCell ref="AB2:AE2"/>
    <mergeCell ref="AQ1:AT1"/>
    <mergeCell ref="AQ2:AT2"/>
    <mergeCell ref="AG1:AJ1"/>
    <mergeCell ref="AG2:AJ2"/>
    <mergeCell ref="BU1:BX1"/>
    <mergeCell ref="BU2:BX2"/>
    <mergeCell ref="C1:F1"/>
    <mergeCell ref="C2:F2"/>
    <mergeCell ref="BA1:BD1"/>
    <mergeCell ref="BA2:BD2"/>
    <mergeCell ref="R1:U1"/>
    <mergeCell ref="H1:K1"/>
    <mergeCell ref="H2:K2"/>
    <mergeCell ref="M1:P1"/>
    <mergeCell ref="M2:P2"/>
    <mergeCell ref="R2:U2"/>
    <mergeCell ref="AV1:AY1"/>
    <mergeCell ref="AV2:AY2"/>
    <mergeCell ref="W1:Z1"/>
    <mergeCell ref="W2:Z2"/>
  </mergeCells>
  <phoneticPr fontId="0" type="noConversion"/>
  <pageMargins left="0.23622047244094491" right="0.23622047244094491" top="0.43307086614173229" bottom="0.31496062992125984" header="0.31496062992125984" footer="0.27559055118110237"/>
  <pageSetup paperSize="9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13</vt:i4>
      </vt:variant>
    </vt:vector>
  </HeadingPairs>
  <TitlesOfParts>
    <vt:vector size="20" baseType="lpstr">
      <vt:lpstr>Front Page</vt:lpstr>
      <vt:lpstr> Financial Highlights</vt:lpstr>
      <vt:lpstr>Balance Sheet</vt:lpstr>
      <vt:lpstr>Cashflow</vt:lpstr>
      <vt:lpstr>Segment Data 2017-2025</vt:lpstr>
      <vt:lpstr>OLD Segment Data 2005-2019</vt:lpstr>
      <vt:lpstr>OLD Valuation 2005-2019</vt:lpstr>
      <vt:lpstr>' Financial Highlights'!Print_Area</vt:lpstr>
      <vt:lpstr>'Balance Sheet'!Print_Area</vt:lpstr>
      <vt:lpstr>Cashflow!Print_Area</vt:lpstr>
      <vt:lpstr>'Front Page'!Print_Area</vt:lpstr>
      <vt:lpstr>'OLD Segment Data 2005-2019'!Print_Area</vt:lpstr>
      <vt:lpstr>'OLD Valuation 2005-2019'!Print_Area</vt:lpstr>
      <vt:lpstr>'Segment Data 2017-2025'!Print_Area</vt:lpstr>
      <vt:lpstr>' Financial Highlights'!Print_Titles</vt:lpstr>
      <vt:lpstr>'Balance Sheet'!Print_Titles</vt:lpstr>
      <vt:lpstr>Cashflow!Print_Titles</vt:lpstr>
      <vt:lpstr>'OLD Segment Data 2005-2019'!Print_Titles</vt:lpstr>
      <vt:lpstr>'OLD Valuation 2005-2019'!Print_Titles</vt:lpstr>
      <vt:lpstr>'Segment Data 2017-2025'!Print_Titles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Jannie Ellebo</dc:creator>
  <cp:lastModifiedBy>Jacob Johansen</cp:lastModifiedBy>
  <cp:lastPrinted>2019-05-14T13:27:52Z</cp:lastPrinted>
  <dcterms:created xsi:type="dcterms:W3CDTF">2003-02-28T10:07:39Z</dcterms:created>
  <dcterms:modified xsi:type="dcterms:W3CDTF">2025-11-18T08:49:15Z</dcterms:modified>
</cp:coreProperties>
</file>