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pfrederiksen\Desktop\projekt annual report onestream\"/>
    </mc:Choice>
  </mc:AlternateContent>
  <bookViews>
    <workbookView xWindow="0" yWindow="0" windowWidth="28800" windowHeight="14010" activeTab="4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Highlights'!$BP$3:$CG$51</definedName>
    <definedName name="_xlnm.Print_Area" localSheetId="2">'Balance Sheet'!$BF$4:$BS$47</definedName>
    <definedName name="_xlnm.Print_Area" localSheetId="3">Cashflow!$BQ$5:$CG$33</definedName>
    <definedName name="_xlnm.Print_Area" localSheetId="0">'Front Page'!$A$1:$N$25</definedName>
    <definedName name="_xlnm.Print_Area" localSheetId="4">'Segment Data'!$BQ$4:$CG$85</definedName>
    <definedName name="_xlnm.Print_Area" localSheetId="5">Valuation!$BF$4:$BS$37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71027"/>
</workbook>
</file>

<file path=xl/calcChain.xml><?xml version="1.0" encoding="utf-8"?>
<calcChain xmlns="http://schemas.openxmlformats.org/spreadsheetml/2006/main">
  <c r="CF29" i="1" l="1"/>
  <c r="CF28" i="1"/>
  <c r="BS21" i="2"/>
  <c r="BS11" i="6"/>
  <c r="BS7" i="6"/>
  <c r="CF46" i="1" l="1"/>
  <c r="CF41" i="1"/>
  <c r="CF37" i="1"/>
  <c r="CF36" i="1"/>
  <c r="CF30" i="1"/>
  <c r="CF21" i="1"/>
  <c r="CF19" i="1"/>
  <c r="CF18" i="1"/>
  <c r="CF15" i="1"/>
  <c r="CF16" i="1"/>
  <c r="CF14" i="1"/>
  <c r="CF11" i="1"/>
  <c r="CF9" i="1"/>
  <c r="CF8" i="1"/>
  <c r="CF7" i="1"/>
  <c r="CF5" i="1"/>
  <c r="BS28" i="2" l="1"/>
  <c r="BS25" i="2"/>
  <c r="BS12" i="2"/>
  <c r="CF15" i="3"/>
  <c r="CF10" i="3"/>
  <c r="CF28" i="4" l="1"/>
  <c r="CF19" i="4"/>
  <c r="CF26" i="4" s="1"/>
  <c r="CF15" i="4"/>
  <c r="CF41" i="4" s="1"/>
  <c r="CF10" i="4"/>
  <c r="CF6" i="4"/>
  <c r="CF40" i="4" s="1"/>
  <c r="CE46" i="1" l="1"/>
  <c r="CE41" i="1"/>
  <c r="CE37" i="1"/>
  <c r="CE36" i="1"/>
  <c r="CE30" i="1"/>
  <c r="CE21" i="1"/>
  <c r="CE19" i="1"/>
  <c r="CE16" i="1"/>
  <c r="CE14" i="1"/>
  <c r="CE11" i="1"/>
  <c r="BR42" i="2"/>
  <c r="BR28" i="2"/>
  <c r="BR25" i="2"/>
  <c r="BR12" i="2"/>
  <c r="CE15" i="3"/>
  <c r="CE10" i="3"/>
  <c r="CE41" i="4"/>
  <c r="CE40" i="4"/>
  <c r="CE28" i="4"/>
  <c r="CE26" i="4"/>
  <c r="BR11" i="6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4" i="1"/>
  <c r="CD16" i="1" s="1"/>
  <c r="CD19" i="1" s="1"/>
  <c r="CD21" i="1" s="1"/>
  <c r="CD11" i="1"/>
  <c r="CG31" i="3" l="1"/>
  <c r="CC46" i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S24" i="2"/>
  <c r="BS30" i="2" s="1"/>
  <c r="BR24" i="2"/>
  <c r="BR30" i="2" s="1"/>
  <c r="BQ24" i="2"/>
  <c r="BQ30" i="2" s="1"/>
  <c r="BP24" i="2"/>
  <c r="BR16" i="2"/>
  <c r="BQ16" i="2"/>
  <c r="BP16" i="2"/>
  <c r="BS16" i="2"/>
  <c r="BS9" i="2"/>
  <c r="BR9" i="2"/>
  <c r="BQ9" i="2"/>
  <c r="BP9" i="2"/>
  <c r="CC10" i="3"/>
  <c r="CG10" i="3" s="1"/>
  <c r="CG28" i="3"/>
  <c r="CG25" i="3"/>
  <c r="CG24" i="3"/>
  <c r="CG23" i="3"/>
  <c r="CG18" i="3"/>
  <c r="CG17" i="3"/>
  <c r="CG16" i="3"/>
  <c r="CG15" i="3"/>
  <c r="CG14" i="3"/>
  <c r="CG13" i="3"/>
  <c r="CF19" i="3"/>
  <c r="CE19" i="3"/>
  <c r="CF11" i="3"/>
  <c r="CG7" i="3"/>
  <c r="CE11" i="3"/>
  <c r="CD11" i="3"/>
  <c r="CE21" i="3" l="1"/>
  <c r="CE26" i="3" s="1"/>
  <c r="BR18" i="2"/>
  <c r="BS18" i="2"/>
  <c r="CC11" i="3"/>
  <c r="CC36" i="1" s="1"/>
  <c r="CG36" i="1" s="1"/>
  <c r="BP30" i="2"/>
  <c r="BP18" i="2"/>
  <c r="CC30" i="1" s="1"/>
  <c r="CC41" i="1" s="1"/>
  <c r="BQ18" i="2"/>
  <c r="CG19" i="3"/>
  <c r="CF21" i="3"/>
  <c r="CF26" i="3" s="1"/>
  <c r="CG6" i="3"/>
  <c r="CG11" i="3" s="1"/>
  <c r="CC19" i="3"/>
  <c r="CD19" i="3"/>
  <c r="CD21" i="3" s="1"/>
  <c r="CD26" i="3" s="1"/>
  <c r="CC21" i="3" l="1"/>
  <c r="CC26" i="3" s="1"/>
  <c r="CG21" i="3"/>
  <c r="CG26" i="3" s="1"/>
  <c r="BS15" i="6" l="1"/>
  <c r="BR7" i="6"/>
  <c r="BR15" i="6" s="1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CE25" i="4" l="1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CF39" i="4" s="1"/>
  <c r="CF68" i="4"/>
  <c r="CF24" i="4"/>
  <c r="CF25" i="4" s="1"/>
  <c r="BN40" i="2"/>
  <c r="BZ28" i="1"/>
  <c r="BZ46" i="1" s="1"/>
  <c r="BZ18" i="1"/>
  <c r="BZ15" i="1"/>
  <c r="BZ8" i="1"/>
  <c r="BZ9" i="1"/>
  <c r="BN28" i="2"/>
  <c r="BN25" i="2"/>
  <c r="BN24" i="2"/>
  <c r="BN30" i="2" s="1"/>
  <c r="BN12" i="2"/>
  <c r="BN16" i="2" s="1"/>
  <c r="BN9" i="2"/>
  <c r="BZ13" i="3"/>
  <c r="CA14" i="3"/>
  <c r="BS26" i="6" l="1"/>
  <c r="BS24" i="6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Z11" i="3" s="1"/>
  <c r="BZ36" i="1" s="1"/>
  <c r="BN7" i="6"/>
  <c r="BN11" i="6" s="1"/>
  <c r="BN15" i="6" s="1"/>
  <c r="BS28" i="6" l="1"/>
  <c r="BS32" i="6" s="1"/>
  <c r="BS33" i="6"/>
  <c r="BS21" i="6"/>
  <c r="BS36" i="6"/>
  <c r="BZ19" i="3"/>
  <c r="BZ21" i="3" s="1"/>
  <c r="BZ26" i="3" s="1"/>
  <c r="BZ71" i="4"/>
  <c r="BZ78" i="4" s="1"/>
  <c r="BZ32" i="1" s="1"/>
  <c r="BZ65" i="4"/>
  <c r="BZ61" i="4"/>
  <c r="BZ68" i="4" s="1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Z38" i="4" l="1"/>
  <c r="CA31" i="4"/>
  <c r="BM30" i="2"/>
  <c r="BQ27" i="6"/>
  <c r="BP27" i="6"/>
  <c r="BZ24" i="4"/>
  <c r="BR24" i="6" s="1"/>
  <c r="BZ24" i="1"/>
  <c r="BZ5" i="1"/>
  <c r="BZ28" i="4"/>
  <c r="BY46" i="1"/>
  <c r="BR21" i="6" l="1"/>
  <c r="BR36" i="6"/>
  <c r="BZ7" i="1"/>
  <c r="BZ11" i="1" s="1"/>
  <c r="BZ14" i="1" s="1"/>
  <c r="BZ16" i="1" s="1"/>
  <c r="BZ19" i="1" s="1"/>
  <c r="BN38" i="2" s="1"/>
  <c r="BR17" i="6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18" i="2" s="1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Y6" i="3" l="1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Y26" i="3" s="1"/>
  <c r="BX36" i="1"/>
  <c r="BX21" i="3"/>
  <c r="BX26" i="3" s="1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CA31" i="3"/>
  <c r="CA28" i="3"/>
  <c r="CA25" i="3"/>
  <c r="CA24" i="3"/>
  <c r="CA23" i="3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26" i="3" s="1"/>
  <c r="CA39" i="4"/>
  <c r="CA25" i="4"/>
  <c r="BI29" i="2"/>
  <c r="BH28" i="2"/>
  <c r="BQ28" i="6" l="1"/>
  <c r="BQ32" i="6" s="1"/>
  <c r="BQ33" i="6"/>
  <c r="BW11" i="3"/>
  <c r="BW21" i="3" s="1"/>
  <c r="BW26" i="3" s="1"/>
  <c r="BN21" i="6"/>
  <c r="BP28" i="6"/>
  <c r="BP32" i="6" s="1"/>
  <c r="BP33" i="6"/>
  <c r="BW36" i="1"/>
  <c r="CA36" i="1" s="1"/>
  <c r="BI24" i="2"/>
  <c r="BI30" i="2" s="1"/>
  <c r="BI15" i="2"/>
  <c r="BI16" i="2" s="1"/>
  <c r="BI9" i="2"/>
  <c r="BI18" i="2" l="1"/>
  <c r="BT19" i="3"/>
  <c r="BT11" i="3"/>
  <c r="BT21" i="3" s="1"/>
  <c r="BT26" i="3" s="1"/>
  <c r="BI27" i="6"/>
  <c r="BT42" i="4"/>
  <c r="BT41" i="4"/>
  <c r="BT40" i="4"/>
  <c r="BT38" i="4"/>
  <c r="BT39" i="4" s="1"/>
  <c r="BI7" i="6"/>
  <c r="BI11" i="6" s="1"/>
  <c r="BI15" i="6" s="1"/>
  <c r="BT78" i="4"/>
  <c r="BT68" i="4"/>
  <c r="BT28" i="4"/>
  <c r="BT27" i="4"/>
  <c r="BT26" i="4"/>
  <c r="BT24" i="4"/>
  <c r="BT13" i="4"/>
  <c r="BT5" i="1" s="1"/>
  <c r="BS25" i="3"/>
  <c r="BM17" i="6" l="1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1" i="2"/>
  <c r="BF41" i="2"/>
  <c r="BS25" i="4" l="1"/>
  <c r="BL24" i="6"/>
  <c r="BL26" i="6" s="1"/>
  <c r="BL17" i="6"/>
  <c r="BS11" i="3"/>
  <c r="BS21" i="3" s="1"/>
  <c r="BS26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6" i="3" s="1"/>
  <c r="BR24" i="4"/>
  <c r="BR13" i="4"/>
  <c r="BR16" i="4" s="1"/>
  <c r="BR24" i="1" l="1"/>
  <c r="BR25" i="4"/>
  <c r="BK28" i="6"/>
  <c r="BK32" i="6" s="1"/>
  <c r="BK33" i="6"/>
  <c r="BR39" i="4"/>
  <c r="BF27" i="6"/>
  <c r="BQ25" i="3"/>
  <c r="BU25" i="3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U31" i="3"/>
  <c r="BU28" i="3"/>
  <c r="BU24" i="3"/>
  <c r="BU23" i="3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18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N21" i="3" l="1"/>
  <c r="BN26" i="3" s="1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U26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Q26" i="3" s="1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O31" i="3"/>
  <c r="BO28" i="3"/>
  <c r="BO25" i="3"/>
  <c r="BO24" i="3"/>
  <c r="BO23" i="3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L26" i="3" s="1"/>
  <c r="BM21" i="3"/>
  <c r="BM26" i="3" s="1"/>
  <c r="BM11" i="1"/>
  <c r="BM14" i="1" s="1"/>
  <c r="BM16" i="1" s="1"/>
  <c r="BM19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C3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L21" i="1"/>
  <c r="BA18" i="2"/>
  <c r="BK30" i="1" s="1"/>
  <c r="BK21" i="3"/>
  <c r="BK26" i="3" s="1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I31" i="3"/>
  <c r="BI28" i="3"/>
  <c r="BI25" i="3"/>
  <c r="BI24" i="3"/>
  <c r="BI23" i="3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BC31" i="3"/>
  <c r="BC28" i="3"/>
  <c r="BC25" i="3"/>
  <c r="BC24" i="3"/>
  <c r="BC23" i="3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W28" i="3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T13" i="4"/>
  <c r="AS13" i="4"/>
  <c r="AS16" i="4" s="1"/>
  <c r="AW12" i="4"/>
  <c r="AW11" i="4"/>
  <c r="AW10" i="4"/>
  <c r="AW28" i="4" s="1"/>
  <c r="AW9" i="4"/>
  <c r="AW8" i="4"/>
  <c r="AW7" i="4"/>
  <c r="AW6" i="4"/>
  <c r="AW31" i="3"/>
  <c r="AW25" i="3"/>
  <c r="AW24" i="3"/>
  <c r="AW23" i="3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O18" i="2" s="1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8" i="4" s="1"/>
  <c r="AJ24" i="6" s="1"/>
  <c r="AQ32" i="4"/>
  <c r="AQ31" i="4"/>
  <c r="AQ40" i="4" s="1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Q31" i="3"/>
  <c r="AQ25" i="3"/>
  <c r="AQ24" i="3"/>
  <c r="AQ23" i="3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24" i="3"/>
  <c r="AK10" i="3"/>
  <c r="AI80" i="4"/>
  <c r="AI42" i="4"/>
  <c r="AI41" i="4"/>
  <c r="AI40" i="4"/>
  <c r="AK37" i="1"/>
  <c r="AH80" i="4"/>
  <c r="AG80" i="4"/>
  <c r="AH46" i="1"/>
  <c r="AH42" i="4"/>
  <c r="AH41" i="4"/>
  <c r="AH40" i="4"/>
  <c r="AK31" i="3"/>
  <c r="AK25" i="3"/>
  <c r="AK23" i="3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H26" i="3" s="1"/>
  <c r="AG11" i="3"/>
  <c r="AG21" i="3" s="1"/>
  <c r="AG26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C18" i="2" s="1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O79" i="4" s="1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42" i="4" s="1"/>
  <c r="AK31" i="4"/>
  <c r="AK40" i="4" s="1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H11" i="6" s="1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Y38" i="4" s="1"/>
  <c r="U24" i="6" s="1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B21" i="3" s="1"/>
  <c r="AB26" i="3" s="1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V21" i="3" s="1"/>
  <c r="V26" i="3" s="1"/>
  <c r="X19" i="3"/>
  <c r="X21" i="3" s="1"/>
  <c r="X26" i="3" s="1"/>
  <c r="AA19" i="3"/>
  <c r="AA21" i="3" s="1"/>
  <c r="AA26" i="3" s="1"/>
  <c r="AB19" i="3"/>
  <c r="AC19" i="3"/>
  <c r="AD19" i="3"/>
  <c r="G23" i="3"/>
  <c r="M23" i="3"/>
  <c r="S23" i="3"/>
  <c r="Y23" i="3"/>
  <c r="AE23" i="3"/>
  <c r="G25" i="3"/>
  <c r="M25" i="3"/>
  <c r="S25" i="3"/>
  <c r="Y25" i="3"/>
  <c r="AE25" i="3"/>
  <c r="G31" i="3"/>
  <c r="M31" i="3"/>
  <c r="S31" i="3"/>
  <c r="Y31" i="3"/>
  <c r="AE31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E18" i="2" s="1"/>
  <c r="F16" i="2"/>
  <c r="F18" i="2" s="1"/>
  <c r="H16" i="2"/>
  <c r="H18" i="2" s="1"/>
  <c r="I16" i="2"/>
  <c r="I18" i="2" s="1"/>
  <c r="J16" i="2"/>
  <c r="K16" i="2"/>
  <c r="M16" i="2"/>
  <c r="N16" i="2"/>
  <c r="O16" i="2"/>
  <c r="O18" i="2" s="1"/>
  <c r="P16" i="2"/>
  <c r="P18" i="2" s="1"/>
  <c r="R16" i="2"/>
  <c r="R18" i="2" s="1"/>
  <c r="S16" i="2"/>
  <c r="S18" i="2" s="1"/>
  <c r="T16" i="2"/>
  <c r="U16" i="2"/>
  <c r="W16" i="2"/>
  <c r="X16" i="2"/>
  <c r="Y16" i="2"/>
  <c r="Y18" i="2" s="1"/>
  <c r="Z16" i="2"/>
  <c r="Z18" i="2" s="1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H30" i="2"/>
  <c r="AO16" i="4"/>
  <c r="AO25" i="4" s="1"/>
  <c r="AN39" i="4"/>
  <c r="P16" i="4"/>
  <c r="P41" i="4"/>
  <c r="E41" i="4"/>
  <c r="W16" i="4"/>
  <c r="W24" i="1" s="1"/>
  <c r="AE18" i="2"/>
  <c r="K41" i="4"/>
  <c r="AW6" i="3"/>
  <c r="BC31" i="4"/>
  <c r="BC41" i="4" s="1"/>
  <c r="AY38" i="4"/>
  <c r="AY40" i="4"/>
  <c r="BB38" i="4"/>
  <c r="AX24" i="6" s="1"/>
  <c r="BB41" i="4"/>
  <c r="BC9" i="1"/>
  <c r="AU16" i="4"/>
  <c r="BE39" i="4"/>
  <c r="BE16" i="4"/>
  <c r="J41" i="4"/>
  <c r="AO11" i="1"/>
  <c r="AO14" i="1" s="1"/>
  <c r="AO16" i="1" s="1"/>
  <c r="AO19" i="1" s="1"/>
  <c r="AI38" i="2" s="1"/>
  <c r="AT16" i="4"/>
  <c r="AT25" i="4" s="1"/>
  <c r="AV16" i="4"/>
  <c r="AV25" i="4" s="1"/>
  <c r="AU11" i="1"/>
  <c r="AU14" i="1" s="1"/>
  <c r="AU16" i="1" s="1"/>
  <c r="AU19" i="1" s="1"/>
  <c r="C19" i="3"/>
  <c r="Y6" i="4"/>
  <c r="Y40" i="4" s="1"/>
  <c r="X40" i="4"/>
  <c r="AS40" i="4"/>
  <c r="BF11" i="1"/>
  <c r="BF14" i="1" s="1"/>
  <c r="BF16" i="1" s="1"/>
  <c r="BF19" i="1" s="1"/>
  <c r="U30" i="2"/>
  <c r="R80" i="4"/>
  <c r="D16" i="4"/>
  <c r="D24" i="1" s="1"/>
  <c r="X42" i="4"/>
  <c r="BI40" i="4"/>
  <c r="BM79" i="4" l="1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5" i="6"/>
  <c r="J11" i="6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5" i="6"/>
  <c r="Z11" i="6"/>
  <c r="U11" i="6"/>
  <c r="U15" i="6" s="1"/>
  <c r="P11" i="6"/>
  <c r="P15" i="6" s="1"/>
  <c r="K11" i="6"/>
  <c r="K15" i="6" s="1"/>
  <c r="AM79" i="4"/>
  <c r="AC11" i="6"/>
  <c r="AC15" i="6" s="1"/>
  <c r="AU79" i="4"/>
  <c r="AJ15" i="6"/>
  <c r="AJ11" i="6"/>
  <c r="AP46" i="1"/>
  <c r="AV79" i="4"/>
  <c r="AR15" i="6"/>
  <c r="AR11" i="6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BF21" i="3"/>
  <c r="BF26" i="3" s="1"/>
  <c r="BG21" i="3"/>
  <c r="BG26" i="3" s="1"/>
  <c r="BB21" i="3"/>
  <c r="BB26" i="3" s="1"/>
  <c r="AZ21" i="3"/>
  <c r="AZ26" i="3" s="1"/>
  <c r="AW11" i="3"/>
  <c r="J21" i="3"/>
  <c r="J26" i="3" s="1"/>
  <c r="M11" i="3"/>
  <c r="M21" i="3" s="1"/>
  <c r="M26" i="3" s="1"/>
  <c r="AU21" i="3"/>
  <c r="AU26" i="3" s="1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S26" i="3" s="1"/>
  <c r="AD21" i="3"/>
  <c r="AD26" i="3" s="1"/>
  <c r="L21" i="3"/>
  <c r="L26" i="3" s="1"/>
  <c r="C21" i="3"/>
  <c r="C26" i="3" s="1"/>
  <c r="AE19" i="3"/>
  <c r="AE21" i="3" s="1"/>
  <c r="AE26" i="3" s="1"/>
  <c r="Y11" i="3"/>
  <c r="AK11" i="3"/>
  <c r="AK21" i="3" s="1"/>
  <c r="AK26" i="3" s="1"/>
  <c r="BE21" i="3"/>
  <c r="BE26" i="3" s="1"/>
  <c r="S19" i="3"/>
  <c r="O21" i="3"/>
  <c r="O26" i="3" s="1"/>
  <c r="AV21" i="3"/>
  <c r="AV26" i="3" s="1"/>
  <c r="AT21" i="3"/>
  <c r="AT26" i="3" s="1"/>
  <c r="M19" i="3"/>
  <c r="Y19" i="3"/>
  <c r="D21" i="3"/>
  <c r="D26" i="3" s="1"/>
  <c r="AW36" i="1"/>
  <c r="U21" i="3"/>
  <c r="U26" i="3" s="1"/>
  <c r="BA21" i="3"/>
  <c r="BA26" i="3" s="1"/>
  <c r="Q21" i="3"/>
  <c r="Q26" i="3" s="1"/>
  <c r="E21" i="3"/>
  <c r="E26" i="3" s="1"/>
  <c r="BC11" i="3"/>
  <c r="G19" i="3"/>
  <c r="AQ19" i="3"/>
  <c r="F21" i="3"/>
  <c r="F26" i="3" s="1"/>
  <c r="AY21" i="3"/>
  <c r="AY26" i="3" s="1"/>
  <c r="BI19" i="3"/>
  <c r="AQ15" i="6"/>
  <c r="AE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T24" i="6"/>
  <c r="T26" i="6" s="1"/>
  <c r="M38" i="4"/>
  <c r="K17" i="6" s="1"/>
  <c r="K24" i="6" s="1"/>
  <c r="K26" i="6" s="1"/>
  <c r="P39" i="4"/>
  <c r="AP16" i="4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W26" i="3" s="1"/>
  <c r="BC19" i="3"/>
  <c r="P21" i="3"/>
  <c r="P26" i="3" s="1"/>
  <c r="AJ21" i="3"/>
  <c r="AJ26" i="3" s="1"/>
  <c r="I21" i="3"/>
  <c r="I26" i="3" s="1"/>
  <c r="R21" i="3"/>
  <c r="R26" i="3" s="1"/>
  <c r="BC36" i="1"/>
  <c r="AC21" i="3"/>
  <c r="AC26" i="3" s="1"/>
  <c r="K21" i="3"/>
  <c r="K26" i="3" s="1"/>
  <c r="S11" i="3"/>
  <c r="S21" i="3" s="1"/>
  <c r="S26" i="3" s="1"/>
  <c r="AQ7" i="3"/>
  <c r="AW19" i="3"/>
  <c r="AW21" i="3" s="1"/>
  <c r="AW26" i="3" s="1"/>
  <c r="BO21" i="3"/>
  <c r="BO26" i="3" s="1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AO26" i="3" s="1"/>
  <c r="BB25" i="4"/>
  <c r="BA25" i="4"/>
  <c r="BE25" i="4"/>
  <c r="AI25" i="4"/>
  <c r="AZ25" i="4"/>
  <c r="AG25" i="4"/>
  <c r="AH25" i="4"/>
  <c r="BI36" i="1"/>
  <c r="BH21" i="3"/>
  <c r="BH26" i="3" s="1"/>
  <c r="AY39" i="4"/>
  <c r="AQ24" i="6"/>
  <c r="AQ26" i="6" s="1"/>
  <c r="AR24" i="6"/>
  <c r="AR36" i="6" s="1"/>
  <c r="AS24" i="6"/>
  <c r="AS26" i="6" s="1"/>
  <c r="AU25" i="4"/>
  <c r="AS25" i="4"/>
  <c r="S13" i="4"/>
  <c r="S39" i="4" s="1"/>
  <c r="AK38" i="4"/>
  <c r="AE24" i="6" s="1"/>
  <c r="AK68" i="4"/>
  <c r="AJ79" i="4" s="1"/>
  <c r="AI11" i="3"/>
  <c r="AI21" i="3" s="1"/>
  <c r="AI26" i="3" s="1"/>
  <c r="BI6" i="3"/>
  <c r="BI11" i="3" s="1"/>
  <c r="AK26" i="4"/>
  <c r="AQ27" i="4"/>
  <c r="AN25" i="4"/>
  <c r="AP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AK16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R26" i="6"/>
  <c r="AN38" i="2"/>
  <c r="AU21" i="1"/>
  <c r="H26" i="6"/>
  <c r="AX38" i="2"/>
  <c r="BG21" i="1"/>
  <c r="AY38" i="2"/>
  <c r="BH21" i="1"/>
  <c r="AX36" i="6"/>
  <c r="AX26" i="6"/>
  <c r="AJ36" i="6"/>
  <c r="AJ26" i="6"/>
  <c r="AM38" i="2"/>
  <c r="AT21" i="1"/>
  <c r="AO38" i="2"/>
  <c r="AV21" i="1"/>
  <c r="BC16" i="4" l="1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Y26" i="3" s="1"/>
  <c r="BC21" i="3"/>
  <c r="BC26" i="3" s="1"/>
  <c r="BC33" i="6"/>
  <c r="BB36" i="6"/>
  <c r="BB26" i="6"/>
  <c r="F26" i="6"/>
  <c r="F28" i="6" s="1"/>
  <c r="F32" i="6" s="1"/>
  <c r="AK25" i="4"/>
  <c r="AK39" i="4"/>
  <c r="G21" i="3"/>
  <c r="G26" i="3" s="1"/>
  <c r="BI21" i="3"/>
  <c r="BI26" i="3" s="1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N26" i="3" s="1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BC24" i="1"/>
  <c r="AT24" i="6"/>
  <c r="BC39" i="4"/>
  <c r="AP11" i="3"/>
  <c r="AC28" i="6"/>
  <c r="AC32" i="6" s="1"/>
  <c r="AC33" i="6"/>
  <c r="AE39" i="4"/>
  <c r="Z24" i="6"/>
  <c r="AO26" i="6"/>
  <c r="AO36" i="6"/>
  <c r="N33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AQ25" i="4" l="1"/>
  <c r="Y33" i="6"/>
  <c r="C37" i="2"/>
  <c r="C46" i="2" s="1"/>
  <c r="D35" i="2" s="1"/>
  <c r="D37" i="2" s="1"/>
  <c r="D46" i="2" s="1"/>
  <c r="E35" i="2" s="1"/>
  <c r="BB28" i="6"/>
  <c r="BB32" i="6" s="1"/>
  <c r="BB33" i="6"/>
  <c r="F33" i="6"/>
  <c r="Y39" i="4"/>
  <c r="AQ6" i="3"/>
  <c r="AQ11" i="3" s="1"/>
  <c r="AQ21" i="3" s="1"/>
  <c r="AQ26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M26" i="3" s="1"/>
  <c r="AR28" i="6"/>
  <c r="AR32" i="6" s="1"/>
  <c r="AE33" i="6"/>
  <c r="BI25" i="4"/>
  <c r="AO28" i="6"/>
  <c r="AO32" i="6" s="1"/>
  <c r="AO33" i="6"/>
  <c r="Z26" i="6"/>
  <c r="Z36" i="6"/>
  <c r="AP21" i="3"/>
  <c r="AP26" i="3" s="1"/>
  <c r="AT36" i="6"/>
  <c r="AT26" i="6"/>
  <c r="E37" i="2" l="1"/>
  <c r="E46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6" i="2" s="1"/>
  <c r="H35" i="2" s="1"/>
  <c r="H37" i="2" s="1"/>
  <c r="H46" i="2" s="1"/>
  <c r="I35" i="2" s="1"/>
  <c r="I37" i="2" s="1"/>
  <c r="I46" i="2" s="1"/>
  <c r="J35" i="2" s="1"/>
  <c r="J37" i="2" s="1"/>
  <c r="J46" i="2" s="1"/>
  <c r="K35" i="2" s="1"/>
  <c r="K37" i="2" s="1"/>
  <c r="K46" i="2" s="1"/>
  <c r="M35" i="2" s="1"/>
  <c r="M37" i="2" s="1"/>
  <c r="M46" i="2" s="1"/>
  <c r="N35" i="2" s="1"/>
  <c r="N37" i="2" s="1"/>
  <c r="N46" i="2" s="1"/>
  <c r="O35" i="2" s="1"/>
  <c r="O37" i="2" s="1"/>
  <c r="O46" i="2" s="1"/>
  <c r="P35" i="2" s="1"/>
  <c r="P37" i="2" s="1"/>
  <c r="P46" i="2" s="1"/>
  <c r="R35" i="2" s="1"/>
  <c r="R37" i="2" s="1"/>
  <c r="R46" i="2" s="1"/>
  <c r="S35" i="2" s="1"/>
  <c r="S37" i="2" s="1"/>
  <c r="S46" i="2" s="1"/>
  <c r="T35" i="2" s="1"/>
  <c r="T37" i="2" s="1"/>
  <c r="T46" i="2" s="1"/>
  <c r="U35" i="2" s="1"/>
  <c r="U37" i="2" s="1"/>
  <c r="U46" i="2" s="1"/>
  <c r="W35" i="2" s="1"/>
  <c r="W37" i="2" s="1"/>
  <c r="W46" i="2" s="1"/>
  <c r="X35" i="2" s="1"/>
  <c r="X37" i="2" s="1"/>
  <c r="X46" i="2" s="1"/>
  <c r="Y35" i="2" s="1"/>
  <c r="Y37" i="2" s="1"/>
  <c r="Y46" i="2" s="1"/>
  <c r="Z35" i="2" s="1"/>
  <c r="Z37" i="2" s="1"/>
  <c r="Z46" i="2" s="1"/>
  <c r="AB35" i="2" s="1"/>
  <c r="AB37" i="2" s="1"/>
  <c r="AB46" i="2" s="1"/>
  <c r="AC35" i="2" s="1"/>
  <c r="AC37" i="2" s="1"/>
  <c r="AC46" i="2" s="1"/>
  <c r="AD35" i="2" s="1"/>
  <c r="AD37" i="2" s="1"/>
  <c r="AD46" i="2" s="1"/>
  <c r="AE35" i="2" s="1"/>
  <c r="AE37" i="2" s="1"/>
  <c r="AE46" i="2" s="1"/>
  <c r="AG35" i="2" s="1"/>
  <c r="AG37" i="2" s="1"/>
  <c r="AG46" i="2" s="1"/>
  <c r="AH35" i="2" s="1"/>
  <c r="AH37" i="2" s="1"/>
  <c r="AH46" i="2" s="1"/>
  <c r="AI35" i="2" s="1"/>
  <c r="AI37" i="2" s="1"/>
  <c r="AI46" i="2" s="1"/>
  <c r="AJ35" i="2" s="1"/>
  <c r="AJ37" i="2" s="1"/>
  <c r="AJ46" i="2" s="1"/>
  <c r="AL35" i="2" s="1"/>
  <c r="AL37" i="2" s="1"/>
  <c r="AL46" i="2" s="1"/>
  <c r="AM35" i="2" s="1"/>
  <c r="AM37" i="2" s="1"/>
  <c r="AM46" i="2" s="1"/>
  <c r="AN35" i="2" s="1"/>
  <c r="AN37" i="2" s="1"/>
  <c r="AN46" i="2" s="1"/>
  <c r="AO35" i="2" s="1"/>
  <c r="AO37" i="2" s="1"/>
  <c r="AO46" i="2" s="1"/>
  <c r="AQ35" i="2" s="1"/>
  <c r="AQ37" i="2" s="1"/>
  <c r="AQ46" i="2" s="1"/>
  <c r="AR35" i="2" s="1"/>
  <c r="AR37" i="2" s="1"/>
  <c r="AR46" i="2" s="1"/>
  <c r="AS35" i="2" s="1"/>
  <c r="AS37" i="2" s="1"/>
  <c r="AS46" i="2" s="1"/>
  <c r="AT35" i="2" s="1"/>
  <c r="AT37" i="2" s="1"/>
  <c r="AT46" i="2" s="1"/>
  <c r="AV35" i="2" s="1"/>
  <c r="AV37" i="2" s="1"/>
  <c r="AV46" i="2" s="1"/>
  <c r="AW35" i="2" s="1"/>
  <c r="AW37" i="2" s="1"/>
  <c r="AW46" i="2" s="1"/>
  <c r="AX35" i="2" s="1"/>
  <c r="AX37" i="2" s="1"/>
  <c r="AX46" i="2" s="1"/>
  <c r="AY35" i="2" s="1"/>
  <c r="AY37" i="2" s="1"/>
  <c r="AY46" i="2" s="1"/>
  <c r="BA35" i="2" s="1"/>
  <c r="BA37" i="2" s="1"/>
  <c r="BA46" i="2" s="1"/>
  <c r="BB35" i="2" s="1"/>
  <c r="BB37" i="2" s="1"/>
  <c r="BB46" i="2" s="1"/>
  <c r="BC35" i="2" s="1"/>
  <c r="BC37" i="2" s="1"/>
  <c r="BC46" i="2" s="1"/>
  <c r="BD35" i="2" s="1"/>
  <c r="BD37" i="2" s="1"/>
  <c r="BD46" i="2" s="1"/>
  <c r="BF35" i="2" s="1"/>
  <c r="BF37" i="2" s="1"/>
  <c r="BF46" i="2" s="1"/>
  <c r="BG35" i="2" s="1"/>
  <c r="BG37" i="2" s="1"/>
  <c r="BG46" i="2" s="1"/>
  <c r="BH35" i="2" s="1"/>
  <c r="BH37" i="2" s="1"/>
  <c r="BH46" i="2" s="1"/>
  <c r="BI35" i="2" s="1"/>
  <c r="BI37" i="2" s="1"/>
  <c r="BI46" i="2" s="1"/>
  <c r="BK35" i="2" s="1"/>
  <c r="BK37" i="2" s="1"/>
  <c r="BK46" i="2" s="1"/>
  <c r="BL35" i="2" s="1"/>
  <c r="BL37" i="2" s="1"/>
  <c r="BL46" i="2" s="1"/>
  <c r="G30" i="3"/>
  <c r="G32" i="3" s="1"/>
  <c r="C32" i="3"/>
  <c r="D30" i="3" s="1"/>
  <c r="D32" i="3" s="1"/>
  <c r="E30" i="3" s="1"/>
  <c r="E32" i="3" s="1"/>
  <c r="F30" i="3" s="1"/>
  <c r="F32" i="3" s="1"/>
  <c r="I30" i="3" s="1"/>
  <c r="BM35" i="2" l="1"/>
  <c r="BM37" i="2" s="1"/>
  <c r="BM46" i="2" s="1"/>
  <c r="I32" i="3"/>
  <c r="J30" i="3" s="1"/>
  <c r="J32" i="3" s="1"/>
  <c r="K30" i="3" s="1"/>
  <c r="K32" i="3" s="1"/>
  <c r="L30" i="3" s="1"/>
  <c r="L32" i="3" s="1"/>
  <c r="O30" i="3" s="1"/>
  <c r="M30" i="3"/>
  <c r="M32" i="3" s="1"/>
  <c r="BN35" i="2" l="1"/>
  <c r="BN37" i="2" s="1"/>
  <c r="BN46" i="2" s="1"/>
  <c r="S30" i="3"/>
  <c r="S32" i="3" s="1"/>
  <c r="U30" i="3" s="1"/>
  <c r="O32" i="3"/>
  <c r="P30" i="3" s="1"/>
  <c r="P32" i="3" s="1"/>
  <c r="Q30" i="3" s="1"/>
  <c r="Q32" i="3" s="1"/>
  <c r="R30" i="3" s="1"/>
  <c r="R32" i="3" s="1"/>
  <c r="BP35" i="2" l="1"/>
  <c r="BP37" i="2" s="1"/>
  <c r="BP46" i="2" s="1"/>
  <c r="U32" i="3"/>
  <c r="V30" i="3" s="1"/>
  <c r="V32" i="3" s="1"/>
  <c r="W30" i="3" s="1"/>
  <c r="W32" i="3" s="1"/>
  <c r="X30" i="3" s="1"/>
  <c r="X32" i="3" s="1"/>
  <c r="Y30" i="3"/>
  <c r="Y32" i="3" s="1"/>
  <c r="AA30" i="3" s="1"/>
  <c r="BQ35" i="2" l="1"/>
  <c r="BQ37" i="2" s="1"/>
  <c r="BQ46" i="2" s="1"/>
  <c r="AE30" i="3"/>
  <c r="AE32" i="3" s="1"/>
  <c r="AG30" i="3" s="1"/>
  <c r="AA32" i="3"/>
  <c r="AB30" i="3" s="1"/>
  <c r="AB32" i="3" s="1"/>
  <c r="AC30" i="3" s="1"/>
  <c r="AC32" i="3" s="1"/>
  <c r="AD30" i="3" s="1"/>
  <c r="AD32" i="3" s="1"/>
  <c r="BR35" i="2" l="1"/>
  <c r="BR37" i="2" s="1"/>
  <c r="BR46" i="2" s="1"/>
  <c r="AK30" i="3"/>
  <c r="AK32" i="3" s="1"/>
  <c r="AG32" i="3"/>
  <c r="AH30" i="3" s="1"/>
  <c r="AH32" i="3" s="1"/>
  <c r="AI30" i="3" s="1"/>
  <c r="AI32" i="3" s="1"/>
  <c r="AJ30" i="3" s="1"/>
  <c r="AJ32" i="3" s="1"/>
  <c r="AM30" i="3" s="1"/>
  <c r="BS35" i="2" l="1"/>
  <c r="BS37" i="2" s="1"/>
  <c r="BS46" i="2" s="1"/>
  <c r="AQ30" i="3"/>
  <c r="AQ32" i="3" s="1"/>
  <c r="AM32" i="3"/>
  <c r="AN30" i="3" s="1"/>
  <c r="AN32" i="3" s="1"/>
  <c r="AO30" i="3" s="1"/>
  <c r="AO32" i="3" s="1"/>
  <c r="AP30" i="3" s="1"/>
  <c r="AP32" i="3" s="1"/>
  <c r="AS30" i="3" s="1"/>
  <c r="AW30" i="3" l="1"/>
  <c r="AW32" i="3" s="1"/>
  <c r="AS32" i="3"/>
  <c r="AT30" i="3" s="1"/>
  <c r="AT32" i="3" s="1"/>
  <c r="AU30" i="3" s="1"/>
  <c r="AU32" i="3" s="1"/>
  <c r="AV30" i="3" s="1"/>
  <c r="AV32" i="3" s="1"/>
  <c r="AY30" i="3" s="1"/>
  <c r="AY32" i="3" l="1"/>
  <c r="AZ30" i="3" s="1"/>
  <c r="AZ32" i="3" s="1"/>
  <c r="BA30" i="3" s="1"/>
  <c r="BA32" i="3" s="1"/>
  <c r="BB30" i="3" s="1"/>
  <c r="BB32" i="3" s="1"/>
  <c r="BE30" i="3" s="1"/>
  <c r="BC30" i="3"/>
  <c r="BC32" i="3" s="1"/>
  <c r="BE32" i="3" l="1"/>
  <c r="BF30" i="3" s="1"/>
  <c r="BF32" i="3" s="1"/>
  <c r="BG30" i="3" s="1"/>
  <c r="BG32" i="3" s="1"/>
  <c r="BH30" i="3" s="1"/>
  <c r="BH32" i="3" s="1"/>
  <c r="BK30" i="3" s="1"/>
  <c r="BI30" i="3"/>
  <c r="BI32" i="3" s="1"/>
  <c r="BO30" i="3" l="1"/>
  <c r="BO32" i="3" s="1"/>
  <c r="BK32" i="3"/>
  <c r="BL30" i="3" s="1"/>
  <c r="BL32" i="3" s="1"/>
  <c r="BM30" i="3" s="1"/>
  <c r="BM32" i="3" s="1"/>
  <c r="BN30" i="3" s="1"/>
  <c r="BN32" i="3" s="1"/>
  <c r="BQ30" i="3" s="1"/>
  <c r="BU30" i="3" l="1"/>
  <c r="BU32" i="3" s="1"/>
  <c r="BQ32" i="3"/>
  <c r="BR30" i="3" s="1"/>
  <c r="BR32" i="3" s="1"/>
  <c r="BS30" i="3" s="1"/>
  <c r="BS32" i="3" s="1"/>
  <c r="BT30" i="3" s="1"/>
  <c r="BT32" i="3" s="1"/>
  <c r="BW30" i="3" s="1"/>
  <c r="CA30" i="3" l="1"/>
  <c r="CA32" i="3" s="1"/>
  <c r="BW32" i="3"/>
  <c r="BX30" i="3" s="1"/>
  <c r="BX32" i="3" s="1"/>
  <c r="BY30" i="3" s="1"/>
  <c r="BY32" i="3" s="1"/>
  <c r="BZ30" i="3" s="1"/>
  <c r="BZ32" i="3" s="1"/>
  <c r="CC30" i="3" s="1"/>
  <c r="CG30" i="3" l="1"/>
  <c r="CG32" i="3" s="1"/>
  <c r="CC32" i="3"/>
  <c r="CD30" i="3" s="1"/>
  <c r="CD32" i="3" s="1"/>
  <c r="CE30" i="3" l="1"/>
  <c r="CE32" i="3" s="1"/>
  <c r="CF30" i="3" s="1"/>
  <c r="CF32" i="3" s="1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 shapeId="0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<sst xmlns="http://schemas.openxmlformats.org/spreadsheetml/2006/main" count="613" uniqueCount="188">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</sst>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"/>
    <numFmt numFmtId="165" formatCode="0.0%"/>
    <numFmt numFmtId="166" formatCode="0.0\x"/>
    <numFmt numFmtId="167" formatCode="_(* #,##0_);_(* \(#,##0\);_(* &quot;-&quot;??_);_(@_)"/>
    <numFmt numFmtId="168" formatCode="_(* #,##0.0_);_(* \(#,##0.0\);_(* &quot;-&quot;??_);_(@_)"/>
    <numFmt numFmtId="169" formatCode="#,##0.0;\-#,##0.0"/>
    <numFmt numFmtId="170" formatCode="#,##0.000;\-#,##0.000"/>
    <numFmt numFmtId="171" formatCode="#,##0.0_ ;\-#,##0.0\ "/>
    <numFmt numFmtId="172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7" fontId="4" fillId="0" borderId="0" xfId="1" applyNumberFormat="1" applyFont="1" applyFill="1"/>
    <xf numFmtId="167" fontId="4" fillId="0" borderId="0" xfId="1" applyNumberFormat="1" applyFont="1"/>
    <xf numFmtId="164" fontId="4" fillId="0" borderId="0" xfId="0" applyNumberFormat="1" applyFont="1"/>
    <xf numFmtId="164" fontId="4" fillId="0" borderId="0" xfId="0" applyNumberFormat="1" applyFont="1" applyFill="1"/>
    <xf numFmtId="164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43" fontId="4" fillId="0" borderId="0" xfId="1" applyFont="1"/>
    <xf numFmtId="167" fontId="4" fillId="0" borderId="0" xfId="0" applyNumberFormat="1" applyFont="1"/>
    <xf numFmtId="168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5" fontId="2" fillId="0" borderId="0" xfId="2" applyNumberFormat="1" applyFont="1" applyBorder="1"/>
    <xf numFmtId="165" fontId="2" fillId="0" borderId="0" xfId="2" applyNumberFormat="1" applyFont="1" applyFill="1" applyBorder="1"/>
    <xf numFmtId="0" fontId="4" fillId="4" borderId="0" xfId="0" applyFont="1" applyFill="1"/>
    <xf numFmtId="169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4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5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5" fontId="2" fillId="0" borderId="3" xfId="2" applyNumberFormat="1" applyFont="1" applyBorder="1"/>
    <xf numFmtId="165" fontId="2" fillId="6" borderId="3" xfId="2" applyNumberFormat="1" applyFont="1" applyFill="1" applyBorder="1"/>
    <xf numFmtId="165" fontId="2" fillId="0" borderId="3" xfId="2" applyNumberFormat="1" applyFont="1" applyFill="1" applyBorder="1"/>
    <xf numFmtId="0" fontId="11" fillId="0" borderId="0" xfId="0" applyFont="1"/>
    <xf numFmtId="166" fontId="4" fillId="6" borderId="0" xfId="0" applyNumberFormat="1" applyFont="1" applyFill="1"/>
    <xf numFmtId="37" fontId="4" fillId="6" borderId="3" xfId="0" applyNumberFormat="1" applyFont="1" applyFill="1" applyBorder="1"/>
    <xf numFmtId="169" fontId="2" fillId="0" borderId="2" xfId="0" applyNumberFormat="1" applyFont="1" applyBorder="1"/>
    <xf numFmtId="169" fontId="2" fillId="6" borderId="2" xfId="0" applyNumberFormat="1" applyFont="1" applyFill="1" applyBorder="1"/>
    <xf numFmtId="169" fontId="2" fillId="6" borderId="0" xfId="0" applyNumberFormat="1" applyFont="1" applyFill="1"/>
    <xf numFmtId="169" fontId="2" fillId="0" borderId="0" xfId="0" applyNumberFormat="1" applyFont="1"/>
    <xf numFmtId="169" fontId="4" fillId="0" borderId="4" xfId="0" applyNumberFormat="1" applyFont="1" applyBorder="1"/>
    <xf numFmtId="169" fontId="2" fillId="6" borderId="4" xfId="0" applyNumberFormat="1" applyFont="1" applyFill="1" applyBorder="1"/>
    <xf numFmtId="169" fontId="2" fillId="0" borderId="5" xfId="0" applyNumberFormat="1" applyFont="1" applyBorder="1"/>
    <xf numFmtId="169" fontId="2" fillId="6" borderId="5" xfId="0" applyNumberFormat="1" applyFont="1" applyFill="1" applyBorder="1"/>
    <xf numFmtId="169" fontId="4" fillId="6" borderId="4" xfId="0" applyNumberFormat="1" applyFont="1" applyFill="1" applyBorder="1"/>
    <xf numFmtId="169" fontId="4" fillId="0" borderId="5" xfId="0" applyNumberFormat="1" applyFont="1" applyBorder="1"/>
    <xf numFmtId="169" fontId="4" fillId="6" borderId="5" xfId="0" applyNumberFormat="1" applyFont="1" applyFill="1" applyBorder="1"/>
    <xf numFmtId="169" fontId="4" fillId="6" borderId="0" xfId="0" applyNumberFormat="1" applyFont="1" applyFill="1"/>
    <xf numFmtId="169" fontId="4" fillId="0" borderId="0" xfId="0" applyNumberFormat="1" applyFont="1" applyFill="1"/>
    <xf numFmtId="169" fontId="4" fillId="0" borderId="4" xfId="0" applyNumberFormat="1" applyFont="1" applyFill="1" applyBorder="1"/>
    <xf numFmtId="169" fontId="2" fillId="0" borderId="0" xfId="0" applyNumberFormat="1" applyFont="1" applyBorder="1"/>
    <xf numFmtId="169" fontId="2" fillId="6" borderId="0" xfId="0" applyNumberFormat="1" applyFont="1" applyFill="1" applyBorder="1"/>
    <xf numFmtId="169" fontId="3" fillId="0" borderId="2" xfId="0" applyNumberFormat="1" applyFont="1" applyFill="1" applyBorder="1" applyAlignment="1">
      <alignment horizontal="right"/>
    </xf>
    <xf numFmtId="169" fontId="2" fillId="6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/>
    <xf numFmtId="169" fontId="4" fillId="0" borderId="2" xfId="0" applyNumberFormat="1" applyFont="1" applyBorder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4" fillId="6" borderId="0" xfId="0" applyNumberFormat="1" applyFont="1" applyFill="1"/>
    <xf numFmtId="164" fontId="4" fillId="0" borderId="4" xfId="0" applyNumberFormat="1" applyFont="1" applyBorder="1"/>
    <xf numFmtId="164" fontId="2" fillId="0" borderId="4" xfId="0" applyNumberFormat="1" applyFont="1" applyBorder="1"/>
    <xf numFmtId="164" fontId="4" fillId="0" borderId="5" xfId="0" applyNumberFormat="1" applyFont="1" applyBorder="1"/>
    <xf numFmtId="164" fontId="2" fillId="0" borderId="5" xfId="0" applyNumberFormat="1" applyFont="1" applyBorder="1"/>
    <xf numFmtId="164" fontId="4" fillId="0" borderId="6" xfId="0" applyNumberFormat="1" applyFont="1" applyBorder="1"/>
    <xf numFmtId="164" fontId="2" fillId="0" borderId="6" xfId="0" applyNumberFormat="1" applyFont="1" applyBorder="1"/>
    <xf numFmtId="164" fontId="4" fillId="0" borderId="0" xfId="0" applyNumberFormat="1" applyFont="1" applyBorder="1"/>
    <xf numFmtId="164" fontId="6" fillId="0" borderId="0" xfId="0" applyNumberFormat="1" applyFont="1" applyFill="1"/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Border="1"/>
    <xf numFmtId="164" fontId="7" fillId="0" borderId="0" xfId="0" applyNumberFormat="1" applyFont="1" applyFill="1"/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2" fillId="0" borderId="7" xfId="0" applyNumberFormat="1" applyFont="1" applyBorder="1"/>
    <xf numFmtId="164" fontId="2" fillId="6" borderId="7" xfId="0" applyNumberFormat="1" applyFont="1" applyFill="1" applyBorder="1"/>
    <xf numFmtId="164" fontId="2" fillId="0" borderId="7" xfId="0" applyNumberFormat="1" applyFont="1" applyFill="1" applyBorder="1"/>
    <xf numFmtId="164" fontId="4" fillId="0" borderId="7" xfId="0" applyNumberFormat="1" applyFont="1" applyBorder="1"/>
    <xf numFmtId="164" fontId="4" fillId="0" borderId="3" xfId="0" applyNumberFormat="1" applyFont="1" applyBorder="1"/>
    <xf numFmtId="164" fontId="2" fillId="6" borderId="3" xfId="0" applyNumberFormat="1" applyFont="1" applyFill="1" applyBorder="1"/>
    <xf numFmtId="164" fontId="4" fillId="0" borderId="3" xfId="0" applyNumberFormat="1" applyFont="1" applyFill="1" applyBorder="1"/>
    <xf numFmtId="164" fontId="4" fillId="3" borderId="0" xfId="0" applyNumberFormat="1" applyFont="1" applyFill="1" applyBorder="1"/>
    <xf numFmtId="164" fontId="2" fillId="0" borderId="3" xfId="0" applyNumberFormat="1" applyFont="1" applyBorder="1"/>
    <xf numFmtId="164" fontId="2" fillId="6" borderId="0" xfId="0" applyNumberFormat="1" applyFont="1" applyFill="1" applyBorder="1"/>
    <xf numFmtId="169" fontId="4" fillId="3" borderId="0" xfId="0" applyNumberFormat="1" applyFont="1" applyFill="1"/>
    <xf numFmtId="169" fontId="2" fillId="0" borderId="7" xfId="0" applyNumberFormat="1" applyFont="1" applyBorder="1"/>
    <xf numFmtId="169" fontId="2" fillId="6" borderId="7" xfId="0" applyNumberFormat="1" applyFont="1" applyFill="1" applyBorder="1"/>
    <xf numFmtId="169" fontId="2" fillId="0" borderId="3" xfId="0" applyNumberFormat="1" applyFont="1" applyBorder="1"/>
    <xf numFmtId="169" fontId="2" fillId="6" borderId="3" xfId="0" applyNumberFormat="1" applyFont="1" applyFill="1" applyBorder="1"/>
    <xf numFmtId="169" fontId="4" fillId="0" borderId="0" xfId="0" applyNumberFormat="1" applyFont="1" applyBorder="1"/>
    <xf numFmtId="169" fontId="4" fillId="0" borderId="0" xfId="0" applyNumberFormat="1" applyFont="1" applyFill="1" applyBorder="1"/>
    <xf numFmtId="169" fontId="4" fillId="2" borderId="0" xfId="0" applyNumberFormat="1" applyFont="1" applyFill="1" applyBorder="1"/>
    <xf numFmtId="169" fontId="4" fillId="3" borderId="0" xfId="0" applyNumberFormat="1" applyFont="1" applyFill="1" applyBorder="1"/>
    <xf numFmtId="169" fontId="2" fillId="0" borderId="5" xfId="0" applyNumberFormat="1" applyFont="1" applyFill="1" applyBorder="1"/>
    <xf numFmtId="169" fontId="2" fillId="3" borderId="5" xfId="0" applyNumberFormat="1" applyFont="1" applyFill="1" applyBorder="1"/>
    <xf numFmtId="169" fontId="2" fillId="0" borderId="3" xfId="0" applyNumberFormat="1" applyFont="1" applyFill="1" applyBorder="1"/>
    <xf numFmtId="169" fontId="2" fillId="3" borderId="3" xfId="0" applyNumberFormat="1" applyFont="1" applyFill="1" applyBorder="1"/>
    <xf numFmtId="169" fontId="4" fillId="3" borderId="5" xfId="0" applyNumberFormat="1" applyFont="1" applyFill="1" applyBorder="1"/>
    <xf numFmtId="169" fontId="4" fillId="0" borderId="0" xfId="0" applyNumberFormat="1" applyFont="1" applyAlignment="1">
      <alignment horizontal="right"/>
    </xf>
    <xf numFmtId="169" fontId="4" fillId="0" borderId="3" xfId="0" applyNumberFormat="1" applyFont="1" applyBorder="1"/>
    <xf numFmtId="169" fontId="2" fillId="0" borderId="0" xfId="0" applyNumberFormat="1" applyFont="1" applyFill="1" applyBorder="1"/>
    <xf numFmtId="169" fontId="4" fillId="6" borderId="0" xfId="0" applyNumberFormat="1" applyFont="1" applyFill="1" applyBorder="1"/>
    <xf numFmtId="169" fontId="4" fillId="0" borderId="3" xfId="0" applyNumberFormat="1" applyFont="1" applyFill="1" applyBorder="1"/>
    <xf numFmtId="169" fontId="4" fillId="6" borderId="3" xfId="0" applyNumberFormat="1" applyFont="1" applyFill="1" applyBorder="1"/>
    <xf numFmtId="169" fontId="4" fillId="3" borderId="3" xfId="0" applyNumberFormat="1" applyFont="1" applyFill="1" applyBorder="1"/>
    <xf numFmtId="169" fontId="2" fillId="3" borderId="7" xfId="0" applyNumberFormat="1" applyFont="1" applyFill="1" applyBorder="1"/>
    <xf numFmtId="169" fontId="2" fillId="0" borderId="7" xfId="0" applyNumberFormat="1" applyFont="1" applyFill="1" applyBorder="1"/>
    <xf numFmtId="169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5" fontId="2" fillId="0" borderId="0" xfId="2" applyNumberFormat="1" applyFont="1" applyFill="1" applyBorder="1" applyAlignment="1">
      <alignment horizontal="right"/>
    </xf>
    <xf numFmtId="164" fontId="2" fillId="0" borderId="0" xfId="0" applyNumberFormat="1" applyFont="1" applyBorder="1"/>
    <xf numFmtId="165" fontId="4" fillId="0" borderId="0" xfId="2" applyNumberFormat="1" applyFont="1"/>
    <xf numFmtId="37" fontId="12" fillId="0" borderId="0" xfId="0" applyNumberFormat="1" applyFont="1"/>
    <xf numFmtId="169" fontId="12" fillId="0" borderId="0" xfId="0" applyNumberFormat="1" applyFont="1"/>
    <xf numFmtId="170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6" fontId="4" fillId="0" borderId="8" xfId="0" applyNumberFormat="1" applyFont="1" applyBorder="1"/>
    <xf numFmtId="166" fontId="4" fillId="6" borderId="8" xfId="0" applyNumberFormat="1" applyFont="1" applyFill="1" applyBorder="1"/>
    <xf numFmtId="166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7" fontId="2" fillId="0" borderId="0" xfId="1" applyNumberFormat="1" applyFont="1" applyBorder="1"/>
    <xf numFmtId="0" fontId="2" fillId="0" borderId="8" xfId="0" applyFont="1" applyBorder="1"/>
    <xf numFmtId="165" fontId="2" fillId="0" borderId="8" xfId="2" applyNumberFormat="1" applyFont="1" applyBorder="1"/>
    <xf numFmtId="165" fontId="2" fillId="6" borderId="8" xfId="2" applyNumberFormat="1" applyFont="1" applyFill="1" applyBorder="1"/>
    <xf numFmtId="165" fontId="2" fillId="0" borderId="8" xfId="2" applyNumberFormat="1" applyFont="1" applyFill="1" applyBorder="1"/>
    <xf numFmtId="164" fontId="2" fillId="0" borderId="9" xfId="0" applyNumberFormat="1" applyFont="1" applyBorder="1"/>
    <xf numFmtId="164" fontId="2" fillId="6" borderId="9" xfId="0" applyNumberFormat="1" applyFont="1" applyFill="1" applyBorder="1"/>
    <xf numFmtId="164" fontId="4" fillId="0" borderId="9" xfId="0" applyNumberFormat="1" applyFont="1" applyBorder="1"/>
    <xf numFmtId="164" fontId="2" fillId="0" borderId="9" xfId="0" applyNumberFormat="1" applyFont="1" applyFill="1" applyBorder="1"/>
    <xf numFmtId="164" fontId="8" fillId="0" borderId="8" xfId="0" applyNumberFormat="1" applyFont="1" applyFill="1" applyBorder="1"/>
    <xf numFmtId="164" fontId="9" fillId="0" borderId="8" xfId="0" applyNumberFormat="1" applyFont="1" applyFill="1" applyBorder="1"/>
    <xf numFmtId="164" fontId="9" fillId="0" borderId="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0" fillId="0" borderId="8" xfId="0" applyNumberFormat="1" applyFont="1" applyFill="1" applyBorder="1"/>
    <xf numFmtId="164" fontId="18" fillId="0" borderId="8" xfId="0" applyNumberFormat="1" applyFont="1" applyFill="1" applyBorder="1"/>
    <xf numFmtId="164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5" fontId="2" fillId="6" borderId="0" xfId="2" applyNumberFormat="1" applyFont="1" applyFill="1" applyBorder="1" applyAlignment="1">
      <alignment horizontal="right"/>
    </xf>
    <xf numFmtId="0" fontId="2" fillId="0" borderId="0" xfId="0" applyFont="1" applyAlignment="1"/>
    <xf numFmtId="164" fontId="2" fillId="3" borderId="7" xfId="0" applyNumberFormat="1" applyFont="1" applyFill="1" applyBorder="1"/>
    <xf numFmtId="164" fontId="4" fillId="3" borderId="3" xfId="0" applyNumberFormat="1" applyFont="1" applyFill="1" applyBorder="1"/>
    <xf numFmtId="164" fontId="2" fillId="3" borderId="0" xfId="0" applyNumberFormat="1" applyFont="1" applyFill="1"/>
    <xf numFmtId="171" fontId="4" fillId="0" borderId="0" xfId="0" applyNumberFormat="1" applyFont="1"/>
    <xf numFmtId="172" fontId="4" fillId="0" borderId="0" xfId="0" applyNumberFormat="1" applyFont="1"/>
    <xf numFmtId="172" fontId="4" fillId="6" borderId="0" xfId="0" applyNumberFormat="1" applyFont="1" applyFill="1"/>
    <xf numFmtId="172" fontId="2" fillId="0" borderId="0" xfId="0" applyNumberFormat="1" applyFont="1"/>
    <xf numFmtId="172" fontId="4" fillId="0" borderId="4" xfId="0" applyNumberFormat="1" applyFont="1" applyBorder="1"/>
    <xf numFmtId="172" fontId="4" fillId="6" borderId="4" xfId="0" applyNumberFormat="1" applyFont="1" applyFill="1" applyBorder="1"/>
    <xf numFmtId="172" fontId="2" fillId="0" borderId="4" xfId="0" applyNumberFormat="1" applyFont="1" applyBorder="1"/>
    <xf numFmtId="172" fontId="4" fillId="0" borderId="5" xfId="0" applyNumberFormat="1" applyFont="1" applyBorder="1"/>
    <xf numFmtId="172" fontId="4" fillId="6" borderId="5" xfId="0" applyNumberFormat="1" applyFont="1" applyFill="1" applyBorder="1"/>
    <xf numFmtId="172" fontId="2" fillId="0" borderId="5" xfId="0" applyNumberFormat="1" applyFont="1" applyBorder="1"/>
    <xf numFmtId="172" fontId="4" fillId="0" borderId="5" xfId="0" applyNumberFormat="1" applyFont="1" applyFill="1" applyBorder="1"/>
    <xf numFmtId="172" fontId="4" fillId="0" borderId="0" xfId="0" applyNumberFormat="1" applyFont="1" applyBorder="1"/>
    <xf numFmtId="172" fontId="4" fillId="6" borderId="0" xfId="0" applyNumberFormat="1" applyFont="1" applyFill="1" applyBorder="1"/>
    <xf numFmtId="172" fontId="2" fillId="0" borderId="0" xfId="0" applyNumberFormat="1" applyFont="1" applyBorder="1"/>
    <xf numFmtId="172" fontId="4" fillId="0" borderId="6" xfId="0" applyNumberFormat="1" applyFont="1" applyBorder="1"/>
    <xf numFmtId="172" fontId="4" fillId="6" borderId="6" xfId="0" applyNumberFormat="1" applyFont="1" applyFill="1" applyBorder="1"/>
    <xf numFmtId="172" fontId="2" fillId="0" borderId="6" xfId="0" applyNumberFormat="1" applyFont="1" applyBorder="1"/>
    <xf numFmtId="172" fontId="4" fillId="0" borderId="0" xfId="1" applyNumberFormat="1" applyFont="1"/>
    <xf numFmtId="172" fontId="3" fillId="0" borderId="0" xfId="0" applyNumberFormat="1" applyFont="1" applyFill="1" applyAlignment="1"/>
    <xf numFmtId="172" fontId="3" fillId="6" borderId="0" xfId="0" applyNumberFormat="1" applyFont="1" applyFill="1" applyAlignment="1"/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/>
    <xf numFmtId="172" fontId="2" fillId="6" borderId="0" xfId="0" applyNumberFormat="1" applyFont="1" applyFill="1" applyAlignment="1"/>
    <xf numFmtId="172" fontId="2" fillId="6" borderId="0" xfId="0" applyNumberFormat="1" applyFont="1" applyFill="1" applyAlignment="1">
      <alignment horizontal="center"/>
    </xf>
    <xf numFmtId="172" fontId="3" fillId="0" borderId="2" xfId="0" applyNumberFormat="1" applyFont="1" applyFill="1" applyBorder="1" applyAlignment="1">
      <alignment horizontal="right"/>
    </xf>
    <xf numFmtId="172" fontId="3" fillId="6" borderId="2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2" fontId="4" fillId="0" borderId="2" xfId="0" applyNumberFormat="1" applyFont="1" applyBorder="1"/>
    <xf numFmtId="172" fontId="4" fillId="0" borderId="0" xfId="0" applyNumberFormat="1" applyFont="1" applyFill="1"/>
    <xf numFmtId="172" fontId="4" fillId="0" borderId="4" xfId="0" applyNumberFormat="1" applyFont="1" applyFill="1" applyBorder="1"/>
    <xf numFmtId="172" fontId="4" fillId="3" borderId="0" xfId="0" applyNumberFormat="1" applyFont="1" applyFill="1"/>
    <xf numFmtId="172" fontId="4" fillId="3" borderId="4" xfId="0" applyNumberFormat="1" applyFont="1" applyFill="1" applyBorder="1"/>
    <xf numFmtId="172" fontId="4" fillId="0" borderId="9" xfId="0" applyNumberFormat="1" applyFont="1" applyBorder="1"/>
    <xf numFmtId="172" fontId="4" fillId="6" borderId="9" xfId="0" applyNumberFormat="1" applyFont="1" applyFill="1" applyBorder="1"/>
    <xf numFmtId="172" fontId="2" fillId="0" borderId="9" xfId="0" applyNumberFormat="1" applyFont="1" applyBorder="1"/>
    <xf numFmtId="172" fontId="4" fillId="0" borderId="9" xfId="0" applyNumberFormat="1" applyFont="1" applyFill="1" applyBorder="1"/>
    <xf numFmtId="43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5" borderId="0" xfId="0" quotePrefix="1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5" borderId="0" xfId="0" quotePrefix="1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2018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topLeftCell="A19" zoomScale="150" zoomScaleNormal="150" workbookViewId="0">
      <selection activeCell="O4" sqref="O4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39" t="s">
        <v>161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157"/>
      <c r="N9" s="156"/>
    </row>
    <row r="10" spans="1:14" ht="44.25" x14ac:dyDescent="0.55000000000000004">
      <c r="A10" s="156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157"/>
      <c r="N10" s="156"/>
    </row>
    <row r="11" spans="1:14" ht="44.25" x14ac:dyDescent="0.55000000000000004">
      <c r="A11" s="156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157"/>
      <c r="N11" s="156"/>
    </row>
    <row r="12" spans="1:14" ht="44.25" x14ac:dyDescent="0.55000000000000004">
      <c r="A12" s="156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51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1"/>
  <sheetViews>
    <sheetView showGridLines="0" zoomScale="90" zoomScaleNormal="90" zoomScaleSheetLayoutView="75" workbookViewId="0">
      <pane xSplit="1" ySplit="3" topLeftCell="BP4" activePane="bottomRight" state="frozen"/>
      <selection activeCell="P11" sqref="P11"/>
      <selection pane="topRight" activeCell="P11" sqref="P11"/>
      <selection pane="bottomLeft" activeCell="P11" sqref="P11"/>
      <selection pane="bottomRight" activeCell="CF46" sqref="CF46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16384" width="9.140625" style="2"/>
  </cols>
  <sheetData>
    <row r="1" spans="1:85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3" t="s">
        <v>174</v>
      </c>
      <c r="BX1" s="243"/>
      <c r="BY1" s="243"/>
      <c r="BZ1" s="243"/>
      <c r="CA1" s="243"/>
      <c r="CC1" s="243"/>
      <c r="CD1" s="243"/>
      <c r="CE1" s="243"/>
      <c r="CF1" s="243"/>
      <c r="CG1" s="243"/>
    </row>
    <row r="2" spans="1:85" x14ac:dyDescent="0.2">
      <c r="A2" s="1" t="s">
        <v>162</v>
      </c>
      <c r="C2" s="242">
        <v>2005</v>
      </c>
      <c r="D2" s="242"/>
      <c r="E2" s="242"/>
      <c r="F2" s="242"/>
      <c r="G2" s="242"/>
      <c r="I2" s="242">
        <v>2006</v>
      </c>
      <c r="J2" s="242"/>
      <c r="K2" s="242"/>
      <c r="L2" s="242"/>
      <c r="M2" s="242"/>
      <c r="O2" s="242">
        <v>2007</v>
      </c>
      <c r="P2" s="242"/>
      <c r="Q2" s="242"/>
      <c r="R2" s="242"/>
      <c r="S2" s="242"/>
      <c r="U2" s="242">
        <v>2008</v>
      </c>
      <c r="V2" s="242"/>
      <c r="W2" s="242"/>
      <c r="X2" s="242"/>
      <c r="Y2" s="242"/>
      <c r="AA2" s="242">
        <v>2009</v>
      </c>
      <c r="AB2" s="242"/>
      <c r="AC2" s="242"/>
      <c r="AD2" s="242"/>
      <c r="AE2" s="242"/>
      <c r="AG2" s="242">
        <v>2010</v>
      </c>
      <c r="AH2" s="242"/>
      <c r="AI2" s="242"/>
      <c r="AJ2" s="242"/>
      <c r="AK2" s="242"/>
      <c r="AM2" s="242">
        <v>2011</v>
      </c>
      <c r="AN2" s="242"/>
      <c r="AO2" s="242"/>
      <c r="AP2" s="242"/>
      <c r="AQ2" s="242"/>
      <c r="AS2" s="242">
        <v>2012</v>
      </c>
      <c r="AT2" s="242"/>
      <c r="AU2" s="242"/>
      <c r="AV2" s="242"/>
      <c r="AW2" s="242"/>
      <c r="AY2" s="242">
        <v>2013</v>
      </c>
      <c r="AZ2" s="242"/>
      <c r="BA2" s="242"/>
      <c r="BB2" s="242"/>
      <c r="BC2" s="242"/>
      <c r="BE2" s="242">
        <v>2014</v>
      </c>
      <c r="BF2" s="242"/>
      <c r="BG2" s="242"/>
      <c r="BH2" s="242"/>
      <c r="BI2" s="242"/>
      <c r="BK2" s="242">
        <v>2015</v>
      </c>
      <c r="BL2" s="242"/>
      <c r="BM2" s="242"/>
      <c r="BN2" s="242"/>
      <c r="BO2" s="242"/>
      <c r="BQ2" s="242">
        <v>2016</v>
      </c>
      <c r="BR2" s="242"/>
      <c r="BS2" s="242"/>
      <c r="BT2" s="242"/>
      <c r="BU2" s="242"/>
      <c r="BW2" s="242">
        <v>2017</v>
      </c>
      <c r="BX2" s="242"/>
      <c r="BY2" s="242"/>
      <c r="BZ2" s="242"/>
      <c r="CA2" s="242"/>
      <c r="CC2" s="242">
        <v>2018</v>
      </c>
      <c r="CD2" s="242"/>
      <c r="CE2" s="242"/>
      <c r="CF2" s="242"/>
      <c r="CG2" s="242"/>
    </row>
    <row r="3" spans="1:85" s="170" customFormat="1" x14ac:dyDescent="0.2">
      <c r="A3" s="169" t="s">
        <v>108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</row>
    <row r="4" spans="1:85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</row>
    <row r="5" spans="1:85" s="42" customFormat="1" ht="18.75" customHeight="1" x14ac:dyDescent="0.2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</row>
    <row r="6" spans="1:85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</row>
    <row r="7" spans="1:85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</row>
    <row r="8" spans="1:85" x14ac:dyDescent="0.2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</row>
    <row r="9" spans="1:85" x14ac:dyDescent="0.2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</row>
    <row r="10" spans="1:85" s="47" customFormat="1" x14ac:dyDescent="0.2">
      <c r="A10" s="47" t="s">
        <v>97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</row>
    <row r="11" spans="1:85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</row>
    <row r="12" spans="1:85" hidden="1" x14ac:dyDescent="0.2">
      <c r="A12" s="2" t="s">
        <v>47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</row>
    <row r="13" spans="1:85" s="47" customFormat="1" x14ac:dyDescent="0.2">
      <c r="A13" s="47" t="s">
        <v>98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</row>
    <row r="14" spans="1:85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</row>
    <row r="15" spans="1:85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</row>
    <row r="16" spans="1:85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</row>
    <row r="17" spans="1:85" s="5" customFormat="1" ht="12.75" customHeight="1" x14ac:dyDescent="0.2">
      <c r="A17" s="2" t="s">
        <v>57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51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</row>
    <row r="18" spans="1:85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</row>
    <row r="19" spans="1:85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</row>
    <row r="20" spans="1:85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</row>
    <row r="21" spans="1:85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</row>
    <row r="22" spans="1:85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</row>
    <row r="23" spans="1:85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</row>
    <row r="24" spans="1:85" x14ac:dyDescent="0.2">
      <c r="A24" s="5" t="s">
        <v>134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84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+'Segment Data'!M16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84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+'Segment Data'!BW16</f>
        <v>461.69999999999993</v>
      </c>
      <c r="BX24" s="31">
        <f>+'Segment Data'!BX16</f>
        <v>579.29999999999995</v>
      </c>
      <c r="BY24" s="31">
        <f>+'Segment Data'!BY16</f>
        <v>567.09999999999991</v>
      </c>
      <c r="BZ24" s="31">
        <f>+'Segment Data'!BZ16</f>
        <v>302</v>
      </c>
      <c r="CA24" s="84">
        <f>SUM(BW24:BZ24)</f>
        <v>1910.1</v>
      </c>
      <c r="CC24" s="31">
        <f>+'Segment Data'!CC16</f>
        <v>266.89999999999998</v>
      </c>
      <c r="CD24" s="31">
        <v>324</v>
      </c>
      <c r="CE24" s="31">
        <f>+'Segment Data'!CE16</f>
        <v>301.64</v>
      </c>
      <c r="CF24" s="31">
        <f>+'Segment Data'!CF16</f>
        <v>254.59999999999997</v>
      </c>
      <c r="CG24" s="84">
        <f>SUM(CC24:CF24)</f>
        <v>1147.1399999999999</v>
      </c>
    </row>
    <row r="25" spans="1:85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</row>
    <row r="26" spans="1:85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</row>
    <row r="27" spans="1:85" x14ac:dyDescent="0.2">
      <c r="A27" s="2" t="s">
        <v>95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</row>
    <row r="28" spans="1:85" x14ac:dyDescent="0.2">
      <c r="A28" s="2" t="s">
        <v>96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</row>
    <row r="29" spans="1:85" x14ac:dyDescent="0.2">
      <c r="A29" s="2" t="s">
        <v>186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</row>
    <row r="30" spans="1:85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</row>
    <row r="31" spans="1:85" x14ac:dyDescent="0.2">
      <c r="A31" s="2" t="s">
        <v>135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202"/>
      <c r="CC31" s="31">
        <v>-432.7</v>
      </c>
      <c r="CD31" s="31">
        <v>-409.5</v>
      </c>
      <c r="CE31" s="31">
        <v>-307.5</v>
      </c>
      <c r="CF31" s="31">
        <v>-248.3</v>
      </c>
      <c r="CG31" s="75"/>
    </row>
    <row r="32" spans="1:85" x14ac:dyDescent="0.2">
      <c r="A32" s="2" t="s">
        <v>33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(+'Segment Data'!AM78)/7.45</f>
        <v>158.80365749290573</v>
      </c>
      <c r="AN32" s="31">
        <f>(+'Segment Data'!AN78)/7.45</f>
        <v>160.85761902616997</v>
      </c>
      <c r="AO32" s="31">
        <f>(+'Segment Data'!AO78)/7.45</f>
        <v>158.13702085491641</v>
      </c>
      <c r="AP32" s="31">
        <f>(+'Segment Data'!AP78)/7.45</f>
        <v>153.07418584748433</v>
      </c>
      <c r="AQ32" s="75"/>
      <c r="AR32" s="31"/>
      <c r="AS32" s="31">
        <f>(+'Segment Data'!AS78)/7.45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(+'Segment Data'!AY78)</f>
        <v>1121.4765100671141</v>
      </c>
      <c r="AZ32" s="31">
        <f>(+'Segment Data'!AZ78)</f>
        <v>1134.0939597315437</v>
      </c>
      <c r="BA32" s="31">
        <f>(+'Segment Data'!BA78)</f>
        <v>1123.6241610738255</v>
      </c>
      <c r="BB32" s="31">
        <v>1044.9664429530201</v>
      </c>
      <c r="BC32" s="75"/>
      <c r="BD32" s="31"/>
      <c r="BE32" s="31">
        <f>(+'Segment Data'!BE78)</f>
        <v>1020.8053691275167</v>
      </c>
      <c r="BF32" s="31">
        <f>(+'Segment Data'!BF78)</f>
        <v>1033.4228187919464</v>
      </c>
      <c r="BG32" s="31">
        <f>(+'Segment Data'!BG78)</f>
        <v>1078.9261744966443</v>
      </c>
      <c r="BH32" s="31">
        <f>(+'Segment Data'!BH78)</f>
        <v>954.36241610738261</v>
      </c>
      <c r="BI32" s="75"/>
      <c r="BJ32" s="31"/>
      <c r="BK32" s="31">
        <f>(+'Segment Data'!BK78)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(+'Segment Data'!BQ78)</f>
        <v>974.9</v>
      </c>
      <c r="BR32" s="31">
        <f>(+'Segment Data'!BR78)</f>
        <v>989.9</v>
      </c>
      <c r="BS32" s="31">
        <v>934.8</v>
      </c>
      <c r="BT32" s="31">
        <v>883</v>
      </c>
      <c r="BU32" s="75"/>
      <c r="BV32" s="31"/>
      <c r="BW32" s="31">
        <f>(+'Segment Data'!BW78)</f>
        <v>1588.3</v>
      </c>
      <c r="BX32" s="31">
        <v>1724.5</v>
      </c>
      <c r="BY32" s="31">
        <f>+'Segment Data'!BY78</f>
        <v>1713.4</v>
      </c>
      <c r="BZ32" s="31">
        <f>+'Segment Data'!BZ78</f>
        <v>1109.5000000000002</v>
      </c>
      <c r="CA32" s="75"/>
      <c r="CC32" s="31">
        <f>(+'Segment Data'!CC78)</f>
        <v>1207.5999999999999</v>
      </c>
      <c r="CD32" s="31">
        <f>(+'Segment Data'!CD78)</f>
        <v>1176.7</v>
      </c>
      <c r="CE32" s="31">
        <f>(+'Segment Data'!CE78)</f>
        <v>1232</v>
      </c>
      <c r="CF32" s="31">
        <f>(+'Segment Data'!CF78)</f>
        <v>1143.8999999999999</v>
      </c>
      <c r="CG32" s="75"/>
    </row>
    <row r="33" spans="1:85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</row>
    <row r="34" spans="1:85" s="45" customFormat="1" x14ac:dyDescent="0.2">
      <c r="A34" s="43" t="s">
        <v>45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</row>
    <row r="35" spans="1:85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</row>
    <row r="36" spans="1:85" x14ac:dyDescent="0.2">
      <c r="A36" s="2" t="s">
        <v>58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</row>
    <row r="37" spans="1:85" x14ac:dyDescent="0.2">
      <c r="A37" s="2" t="s">
        <v>59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</row>
    <row r="38" spans="1:85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</row>
    <row r="39" spans="1:85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</row>
    <row r="40" spans="1:85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</row>
    <row r="41" spans="1:85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51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51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51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</row>
    <row r="42" spans="1:85" ht="12.75" customHeight="1" x14ac:dyDescent="0.2">
      <c r="A42" s="2" t="s">
        <v>106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+Valuation!AG5</f>
        <v>23737.978999999999</v>
      </c>
      <c r="AN42" s="13">
        <f>+Valuation!AH5</f>
        <v>23737.978999999999</v>
      </c>
      <c r="AO42" s="13">
        <f>+Valuation!AI5</f>
        <v>23737.978999999999</v>
      </c>
      <c r="AP42" s="13">
        <f>+Valuation!AJ5</f>
        <v>23737.978999999999</v>
      </c>
      <c r="AQ42" s="36"/>
      <c r="AS42" s="13">
        <f>+Valuation!AL5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+Valuation!AQ5</f>
        <v>23930</v>
      </c>
      <c r="AZ42" s="13">
        <f>+Valuation!AR5</f>
        <v>23930</v>
      </c>
      <c r="BA42" s="13">
        <f>+Valuation!AS5</f>
        <v>23930</v>
      </c>
      <c r="BB42" s="13">
        <f>+Valuation!AT5</f>
        <v>23930</v>
      </c>
      <c r="BC42" s="36"/>
      <c r="BE42" s="13">
        <f>+Valuation!AV5</f>
        <v>23934</v>
      </c>
      <c r="BF42" s="13">
        <f>+Valuation!AW5</f>
        <v>23934</v>
      </c>
      <c r="BG42" s="13">
        <f>+Valuation!AX5</f>
        <v>23934</v>
      </c>
      <c r="BH42" s="13">
        <f>+Valuation!AY5</f>
        <v>23934</v>
      </c>
      <c r="BI42" s="36"/>
      <c r="BK42" s="13">
        <f>+Valuation!BA5</f>
        <v>24186</v>
      </c>
      <c r="BL42" s="13">
        <f>+Valuation!BB5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+Valuation!BL5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</row>
    <row r="43" spans="1:85" ht="12.75" customHeight="1" x14ac:dyDescent="0.2">
      <c r="A43" s="2" t="s">
        <v>145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+Valuation!BL6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</row>
    <row r="44" spans="1:85" ht="12.75" customHeight="1" x14ac:dyDescent="0.2">
      <c r="A44" s="2" t="s">
        <v>109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</row>
    <row r="45" spans="1:85" ht="12.75" customHeight="1" x14ac:dyDescent="0.2">
      <c r="A45" s="2" t="s">
        <v>138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</row>
    <row r="46" spans="1:85" ht="12.75" customHeight="1" x14ac:dyDescent="0.2">
      <c r="A46" s="2" t="s">
        <v>137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+AI28/Valuation!AD7*1000</f>
        <v>22.646503789970694</v>
      </c>
      <c r="AJ46" s="18">
        <f>+AJ28/Valuation!AE7*1000</f>
        <v>23.287549613684796</v>
      </c>
      <c r="AK46" s="36"/>
      <c r="AM46" s="16">
        <f>(+AM28/Valuation!AG7*1000)/7.45</f>
        <v>3.0375720051955337</v>
      </c>
      <c r="AN46" s="16">
        <f>(+AN28/Valuation!AH7*1000)/7.45</f>
        <v>3.0330030826507421</v>
      </c>
      <c r="AO46" s="16">
        <f>(+AO28/Valuation!AI7*1000)/7.45</f>
        <v>3.0459483631943187</v>
      </c>
      <c r="AP46" s="16">
        <f>(+AP28/Valuation!AJ7*1000)/7.45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</row>
    <row r="47" spans="1:85" s="164" customFormat="1" ht="12.75" customHeight="1" x14ac:dyDescent="0.2">
      <c r="A47" s="164" t="s">
        <v>136</v>
      </c>
      <c r="C47" s="164">
        <v>198</v>
      </c>
      <c r="D47" s="164">
        <v>229</v>
      </c>
      <c r="E47" s="164">
        <v>262</v>
      </c>
      <c r="F47" s="164">
        <v>289</v>
      </c>
      <c r="G47" s="192"/>
      <c r="I47" s="164">
        <v>389</v>
      </c>
      <c r="J47" s="164">
        <v>366</v>
      </c>
      <c r="K47" s="164">
        <v>442</v>
      </c>
      <c r="L47" s="164">
        <v>503</v>
      </c>
      <c r="M47" s="192"/>
      <c r="O47" s="164">
        <v>449</v>
      </c>
      <c r="P47" s="164">
        <v>549</v>
      </c>
      <c r="Q47" s="164">
        <v>586</v>
      </c>
      <c r="R47" s="164">
        <v>459</v>
      </c>
      <c r="S47" s="192"/>
      <c r="U47" s="164">
        <v>340</v>
      </c>
      <c r="V47" s="164">
        <v>383</v>
      </c>
      <c r="W47" s="164">
        <v>245</v>
      </c>
      <c r="X47" s="164">
        <v>106</v>
      </c>
      <c r="Y47" s="192"/>
      <c r="AA47" s="193">
        <v>97</v>
      </c>
      <c r="AB47" s="194">
        <v>179</v>
      </c>
      <c r="AC47" s="193">
        <v>297</v>
      </c>
      <c r="AD47" s="195">
        <v>291</v>
      </c>
      <c r="AE47" s="192"/>
      <c r="AG47" s="193">
        <v>305</v>
      </c>
      <c r="AH47" s="196">
        <v>274</v>
      </c>
      <c r="AI47" s="193">
        <v>270</v>
      </c>
      <c r="AJ47" s="195">
        <v>297</v>
      </c>
      <c r="AK47" s="192"/>
      <c r="AM47" s="194">
        <f>+Valuation!AG9</f>
        <v>309</v>
      </c>
      <c r="AN47" s="194">
        <f>+Valuation!AH9</f>
        <v>329</v>
      </c>
      <c r="AO47" s="194">
        <f>+Valuation!AI9</f>
        <v>202</v>
      </c>
      <c r="AP47" s="194">
        <f>+Valuation!AJ9</f>
        <v>191</v>
      </c>
      <c r="AQ47" s="192"/>
      <c r="AS47" s="194">
        <f>+Valuation!AL9</f>
        <v>254</v>
      </c>
      <c r="AT47" s="194">
        <v>190</v>
      </c>
      <c r="AU47" s="194">
        <v>202</v>
      </c>
      <c r="AV47" s="194">
        <v>204</v>
      </c>
      <c r="AW47" s="192"/>
      <c r="AY47" s="194">
        <f>+Valuation!AQ9</f>
        <v>216</v>
      </c>
      <c r="AZ47" s="194">
        <f>+Valuation!AR9</f>
        <v>208</v>
      </c>
      <c r="BA47" s="196">
        <f>+Valuation!AS9</f>
        <v>274</v>
      </c>
      <c r="BB47" s="196">
        <f>+Valuation!AT9</f>
        <v>268</v>
      </c>
      <c r="BC47" s="165"/>
      <c r="BE47" s="194">
        <f>+Valuation!AV9</f>
        <v>314</v>
      </c>
      <c r="BF47" s="194">
        <f>+Valuation!AW9</f>
        <v>374</v>
      </c>
      <c r="BG47" s="196">
        <v>325</v>
      </c>
      <c r="BH47" s="196">
        <v>332</v>
      </c>
      <c r="BI47" s="192"/>
      <c r="BK47" s="194">
        <f>+Valuation!BA9</f>
        <v>445</v>
      </c>
      <c r="BL47" s="194">
        <f>+Valuation!BB9</f>
        <v>384</v>
      </c>
      <c r="BM47" s="196">
        <v>352</v>
      </c>
      <c r="BN47" s="196">
        <v>357</v>
      </c>
      <c r="BO47" s="192"/>
      <c r="BQ47" s="194">
        <v>378</v>
      </c>
      <c r="BR47" s="194">
        <v>337</v>
      </c>
      <c r="BS47" s="196">
        <v>427</v>
      </c>
      <c r="BT47" s="196">
        <v>499</v>
      </c>
      <c r="BU47" s="192"/>
      <c r="BW47" s="194">
        <v>512</v>
      </c>
      <c r="BX47" s="194">
        <v>522</v>
      </c>
      <c r="BY47" s="196">
        <v>539</v>
      </c>
      <c r="BZ47" s="196">
        <v>283</v>
      </c>
      <c r="CA47" s="192"/>
      <c r="CC47" s="194">
        <v>197</v>
      </c>
      <c r="CD47" s="194">
        <v>175</v>
      </c>
      <c r="CE47" s="196">
        <v>167</v>
      </c>
      <c r="CF47" s="196">
        <v>89</v>
      </c>
      <c r="CG47" s="192"/>
    </row>
    <row r="48" spans="1:85" ht="11.1" customHeight="1" x14ac:dyDescent="0.2">
      <c r="A48" s="149" t="s">
        <v>142</v>
      </c>
      <c r="AC48" s="20"/>
      <c r="AD48" s="20"/>
      <c r="AG48" s="20"/>
      <c r="AH48" s="20"/>
      <c r="BP48" s="147"/>
      <c r="BQ48" s="147" t="s">
        <v>170</v>
      </c>
      <c r="CF48" s="238"/>
      <c r="CG48" s="238"/>
    </row>
    <row r="49" spans="1:69" ht="11.1" customHeight="1" x14ac:dyDescent="0.2">
      <c r="A49" s="149" t="s">
        <v>143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171</v>
      </c>
    </row>
    <row r="50" spans="1:69" ht="11.1" customHeight="1" x14ac:dyDescent="0.2">
      <c r="A50" s="149" t="s">
        <v>141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28">
    <mergeCell ref="CC1:CG1"/>
    <mergeCell ref="CC2:CG2"/>
    <mergeCell ref="BE1:BI1"/>
    <mergeCell ref="BE2:BI2"/>
    <mergeCell ref="AY1:BC1"/>
    <mergeCell ref="AY2:BC2"/>
    <mergeCell ref="BW1:CA1"/>
    <mergeCell ref="BW2:CA2"/>
    <mergeCell ref="C2:G2"/>
    <mergeCell ref="C1:G1"/>
    <mergeCell ref="O2:S2"/>
    <mergeCell ref="I1:M1"/>
    <mergeCell ref="I2:M2"/>
    <mergeCell ref="O1:S1"/>
    <mergeCell ref="U2:Y2"/>
    <mergeCell ref="AA2:AE2"/>
    <mergeCell ref="U1:Y1"/>
    <mergeCell ref="AM1:AQ1"/>
    <mergeCell ref="AM2:AQ2"/>
    <mergeCell ref="AG1:AK1"/>
    <mergeCell ref="AG2:AK2"/>
    <mergeCell ref="AA1:AE1"/>
    <mergeCell ref="AS1:AW1"/>
    <mergeCell ref="AS2:AW2"/>
    <mergeCell ref="BK1:BO1"/>
    <mergeCell ref="BK2:BO2"/>
    <mergeCell ref="BQ1:BU1"/>
    <mergeCell ref="BQ2:BU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7"/>
  <sheetViews>
    <sheetView showGridLines="0" zoomScaleNormal="100" zoomScaleSheetLayoutView="85" workbookViewId="0">
      <pane xSplit="1" ySplit="3" topLeftCell="BD4" activePane="bottomRight" state="frozen"/>
      <selection activeCell="BW54" sqref="BW54"/>
      <selection pane="topRight" activeCell="BW54" sqref="BW54"/>
      <selection pane="bottomLeft" activeCell="BW54" sqref="BW54"/>
      <selection pane="bottomRight" activeCell="BS24" sqref="BS24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16384" width="9.140625" style="15"/>
  </cols>
  <sheetData>
    <row r="1" spans="1:71" x14ac:dyDescent="0.2">
      <c r="B1" s="93"/>
      <c r="C1" s="244"/>
      <c r="D1" s="244"/>
      <c r="E1" s="244"/>
      <c r="F1" s="244"/>
      <c r="G1" s="93"/>
      <c r="H1" s="244"/>
      <c r="I1" s="244"/>
      <c r="J1" s="244"/>
      <c r="K1" s="244"/>
      <c r="L1" s="93"/>
      <c r="M1" s="244"/>
      <c r="N1" s="244"/>
      <c r="O1" s="244"/>
      <c r="P1" s="244"/>
      <c r="Q1" s="93"/>
      <c r="R1" s="244"/>
      <c r="S1" s="244"/>
      <c r="T1" s="244"/>
      <c r="U1" s="244"/>
      <c r="V1" s="93"/>
      <c r="W1" s="244"/>
      <c r="X1" s="244"/>
      <c r="Y1" s="244"/>
      <c r="Z1" s="244"/>
      <c r="AB1" s="244"/>
      <c r="AC1" s="244"/>
      <c r="AD1" s="244"/>
      <c r="AE1" s="244"/>
      <c r="AG1" s="244"/>
      <c r="AH1" s="244"/>
      <c r="AI1" s="244"/>
      <c r="AJ1" s="244"/>
      <c r="AL1" s="244"/>
      <c r="AM1" s="244"/>
      <c r="AN1" s="244"/>
      <c r="AO1" s="244"/>
      <c r="AQ1" s="244"/>
      <c r="AR1" s="244"/>
      <c r="AS1" s="244"/>
      <c r="AT1" s="244"/>
      <c r="AV1" s="244"/>
      <c r="AW1" s="244"/>
      <c r="AX1" s="244"/>
      <c r="AY1" s="244"/>
      <c r="BA1" s="244"/>
      <c r="BB1" s="244"/>
      <c r="BC1" s="244"/>
      <c r="BD1" s="244"/>
      <c r="BF1" s="244"/>
      <c r="BG1" s="244"/>
      <c r="BH1" s="244"/>
      <c r="BI1" s="244"/>
      <c r="BK1" s="243" t="s">
        <v>175</v>
      </c>
      <c r="BL1" s="243"/>
      <c r="BM1" s="243"/>
      <c r="BN1" s="243"/>
      <c r="BO1" s="243"/>
    </row>
    <row r="2" spans="1:71" x14ac:dyDescent="0.2">
      <c r="A2" s="94" t="s">
        <v>162</v>
      </c>
      <c r="B2" s="95"/>
      <c r="C2" s="245" t="s">
        <v>116</v>
      </c>
      <c r="D2" s="246"/>
      <c r="E2" s="246"/>
      <c r="F2" s="246"/>
      <c r="G2" s="95"/>
      <c r="H2" s="245" t="s">
        <v>117</v>
      </c>
      <c r="I2" s="246"/>
      <c r="J2" s="246"/>
      <c r="K2" s="246"/>
      <c r="L2" s="95"/>
      <c r="M2" s="245" t="s">
        <v>118</v>
      </c>
      <c r="N2" s="246"/>
      <c r="O2" s="246"/>
      <c r="P2" s="246"/>
      <c r="Q2" s="95"/>
      <c r="R2" s="245" t="s">
        <v>119</v>
      </c>
      <c r="S2" s="246"/>
      <c r="T2" s="246"/>
      <c r="U2" s="246"/>
      <c r="V2" s="95"/>
      <c r="W2" s="245" t="s">
        <v>120</v>
      </c>
      <c r="X2" s="246"/>
      <c r="Y2" s="246"/>
      <c r="Z2" s="246"/>
      <c r="AB2" s="245" t="s">
        <v>121</v>
      </c>
      <c r="AC2" s="246"/>
      <c r="AD2" s="246"/>
      <c r="AE2" s="246"/>
      <c r="AG2" s="245" t="s">
        <v>126</v>
      </c>
      <c r="AH2" s="246"/>
      <c r="AI2" s="246"/>
      <c r="AJ2" s="246"/>
      <c r="AL2" s="245" t="s">
        <v>125</v>
      </c>
      <c r="AM2" s="246"/>
      <c r="AN2" s="246"/>
      <c r="AO2" s="246"/>
      <c r="AQ2" s="245" t="s">
        <v>124</v>
      </c>
      <c r="AR2" s="246"/>
      <c r="AS2" s="246"/>
      <c r="AT2" s="246"/>
      <c r="AV2" s="245" t="s">
        <v>123</v>
      </c>
      <c r="AW2" s="246"/>
      <c r="AX2" s="246"/>
      <c r="AY2" s="246"/>
      <c r="BA2" s="245" t="s">
        <v>122</v>
      </c>
      <c r="BB2" s="246"/>
      <c r="BC2" s="246"/>
      <c r="BD2" s="246"/>
      <c r="BF2" s="245" t="s">
        <v>140</v>
      </c>
      <c r="BG2" s="246"/>
      <c r="BH2" s="246"/>
      <c r="BI2" s="246"/>
      <c r="BK2" s="245" t="s">
        <v>169</v>
      </c>
      <c r="BL2" s="246"/>
      <c r="BM2" s="246"/>
      <c r="BN2" s="246"/>
      <c r="BP2" s="245" t="s">
        <v>184</v>
      </c>
      <c r="BQ2" s="246"/>
      <c r="BR2" s="246"/>
      <c r="BS2" s="246"/>
    </row>
    <row r="3" spans="1:71" s="189" customFormat="1" x14ac:dyDescent="0.2">
      <c r="A3" s="185" t="s">
        <v>127</v>
      </c>
      <c r="B3" s="187"/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B3" s="187" t="s">
        <v>10</v>
      </c>
      <c r="AC3" s="187" t="s">
        <v>11</v>
      </c>
      <c r="AD3" s="187" t="s">
        <v>12</v>
      </c>
      <c r="AE3" s="187" t="s">
        <v>13</v>
      </c>
      <c r="AG3" s="187" t="s">
        <v>10</v>
      </c>
      <c r="AH3" s="187" t="s">
        <v>11</v>
      </c>
      <c r="AI3" s="187" t="s">
        <v>12</v>
      </c>
      <c r="AJ3" s="187" t="s">
        <v>13</v>
      </c>
      <c r="AL3" s="187" t="s">
        <v>10</v>
      </c>
      <c r="AM3" s="187" t="s">
        <v>11</v>
      </c>
      <c r="AN3" s="187" t="s">
        <v>12</v>
      </c>
      <c r="AO3" s="187" t="s">
        <v>13</v>
      </c>
      <c r="AQ3" s="187" t="s">
        <v>10</v>
      </c>
      <c r="AR3" s="187" t="s">
        <v>11</v>
      </c>
      <c r="AS3" s="187" t="s">
        <v>12</v>
      </c>
      <c r="AT3" s="187" t="s">
        <v>13</v>
      </c>
      <c r="AV3" s="187" t="s">
        <v>10</v>
      </c>
      <c r="AW3" s="188" t="s">
        <v>11</v>
      </c>
      <c r="AX3" s="188" t="s">
        <v>12</v>
      </c>
      <c r="AY3" s="188" t="s">
        <v>13</v>
      </c>
      <c r="AZ3" s="190"/>
      <c r="BA3" s="188" t="s">
        <v>10</v>
      </c>
      <c r="BB3" s="188" t="s">
        <v>11</v>
      </c>
      <c r="BC3" s="188" t="s">
        <v>12</v>
      </c>
      <c r="BD3" s="188" t="s">
        <v>13</v>
      </c>
      <c r="BE3" s="190"/>
      <c r="BF3" s="188" t="s">
        <v>10</v>
      </c>
      <c r="BG3" s="188" t="s">
        <v>11</v>
      </c>
      <c r="BH3" s="188" t="s">
        <v>12</v>
      </c>
      <c r="BI3" s="188" t="s">
        <v>13</v>
      </c>
      <c r="BJ3" s="190"/>
      <c r="BK3" s="188" t="s">
        <v>10</v>
      </c>
      <c r="BL3" s="188" t="s">
        <v>11</v>
      </c>
      <c r="BM3" s="188" t="s">
        <v>12</v>
      </c>
      <c r="BN3" s="188" t="s">
        <v>13</v>
      </c>
      <c r="BP3" s="188" t="s">
        <v>10</v>
      </c>
      <c r="BQ3" s="188" t="s">
        <v>11</v>
      </c>
      <c r="BR3" s="188" t="s">
        <v>12</v>
      </c>
      <c r="BS3" s="188" t="s">
        <v>13</v>
      </c>
    </row>
    <row r="4" spans="1:7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</row>
    <row r="5" spans="1:71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</row>
    <row r="6" spans="1:71" x14ac:dyDescent="0.2">
      <c r="A6" s="15" t="s">
        <v>60</v>
      </c>
      <c r="C6" s="203">
        <v>135.03355704697987</v>
      </c>
      <c r="D6" s="204">
        <v>139.19463087248323</v>
      </c>
      <c r="E6" s="203">
        <v>140</v>
      </c>
      <c r="F6" s="204">
        <v>135.70469798657717</v>
      </c>
      <c r="G6" s="205"/>
      <c r="H6" s="203">
        <v>135.9731543624161</v>
      </c>
      <c r="I6" s="204">
        <v>132.75167785234899</v>
      </c>
      <c r="J6" s="203">
        <v>133.55704697986576</v>
      </c>
      <c r="K6" s="204">
        <v>110.06711409395973</v>
      </c>
      <c r="L6" s="205"/>
      <c r="M6" s="203">
        <v>156.37583892617448</v>
      </c>
      <c r="N6" s="204">
        <v>165.63758389261744</v>
      </c>
      <c r="O6" s="203">
        <v>178.65771812080536</v>
      </c>
      <c r="P6" s="204">
        <v>186.17449664429529</v>
      </c>
      <c r="Q6" s="205"/>
      <c r="R6" s="203">
        <v>192.21476510067114</v>
      </c>
      <c r="S6" s="204">
        <v>202.14765100671141</v>
      </c>
      <c r="T6" s="203">
        <v>212.75167785234899</v>
      </c>
      <c r="U6" s="204">
        <v>212.75167785234899</v>
      </c>
      <c r="V6" s="205"/>
      <c r="W6" s="203">
        <v>220.40268456375838</v>
      </c>
      <c r="X6" s="204">
        <v>215.43624161073825</v>
      </c>
      <c r="Y6" s="203">
        <v>213.55704697986576</v>
      </c>
      <c r="Z6" s="204">
        <v>217.58389261744966</v>
      </c>
      <c r="AA6" s="203"/>
      <c r="AB6" s="203">
        <v>225.63758389261744</v>
      </c>
      <c r="AC6" s="204">
        <v>242.41610738255034</v>
      </c>
      <c r="AD6" s="203">
        <v>230.06711409395973</v>
      </c>
      <c r="AE6" s="204">
        <v>237.18120805369128</v>
      </c>
      <c r="AF6" s="203"/>
      <c r="AG6" s="203">
        <v>242.01342281879195</v>
      </c>
      <c r="AH6" s="204">
        <v>243.08724832214764</v>
      </c>
      <c r="AI6" s="203">
        <v>256.51006711409394</v>
      </c>
      <c r="AJ6" s="204">
        <v>266.8456375838926</v>
      </c>
      <c r="AK6" s="203"/>
      <c r="AL6" s="203">
        <v>263.48993288590606</v>
      </c>
      <c r="AM6" s="204">
        <v>272.34899328859058</v>
      </c>
      <c r="AN6" s="203">
        <v>271.14093959731542</v>
      </c>
      <c r="AO6" s="204">
        <v>269.53020134228188</v>
      </c>
      <c r="AP6" s="203"/>
      <c r="AQ6" s="203">
        <v>273.42281879194633</v>
      </c>
      <c r="AR6" s="204">
        <v>270.73825503355704</v>
      </c>
      <c r="AS6" s="203">
        <v>270.33557046979865</v>
      </c>
      <c r="AT6" s="204">
        <v>268.59060402684565</v>
      </c>
      <c r="AU6" s="203"/>
      <c r="AV6" s="203">
        <v>271.14093959731542</v>
      </c>
      <c r="AW6" s="204">
        <v>273.55704697986579</v>
      </c>
      <c r="AX6" s="203">
        <v>286.17449664429529</v>
      </c>
      <c r="AY6" s="204">
        <v>291.94630872483219</v>
      </c>
      <c r="AZ6" s="203"/>
      <c r="BA6" s="203">
        <v>311.54362416107381</v>
      </c>
      <c r="BB6" s="204">
        <v>322.14765100671138</v>
      </c>
      <c r="BC6" s="203">
        <v>319.59731543624162</v>
      </c>
      <c r="BD6" s="204">
        <v>333.2</v>
      </c>
      <c r="BE6" s="203"/>
      <c r="BF6" s="203">
        <v>369.2</v>
      </c>
      <c r="BG6" s="204">
        <v>373.5</v>
      </c>
      <c r="BH6" s="203">
        <v>366.1</v>
      </c>
      <c r="BI6" s="204">
        <v>73.5</v>
      </c>
      <c r="BJ6" s="203"/>
      <c r="BK6" s="203">
        <v>576.1</v>
      </c>
      <c r="BL6" s="204">
        <v>574.1</v>
      </c>
      <c r="BM6" s="203">
        <v>594.6</v>
      </c>
      <c r="BN6" s="204">
        <v>597.4</v>
      </c>
      <c r="BO6" s="203"/>
      <c r="BP6" s="203">
        <v>576.6</v>
      </c>
      <c r="BQ6" s="204">
        <v>571.9</v>
      </c>
      <c r="BR6" s="203">
        <v>578.20000000000005</v>
      </c>
      <c r="BS6" s="204">
        <v>589.20000000000005</v>
      </c>
    </row>
    <row r="7" spans="1:71" x14ac:dyDescent="0.2">
      <c r="A7" s="15" t="s">
        <v>61</v>
      </c>
      <c r="C7" s="203">
        <v>103.22147651006711</v>
      </c>
      <c r="D7" s="204">
        <v>104.56375838926174</v>
      </c>
      <c r="E7" s="203">
        <v>108.05369127516778</v>
      </c>
      <c r="F7" s="204">
        <v>108.05369127516778</v>
      </c>
      <c r="G7" s="205"/>
      <c r="H7" s="203">
        <v>112.88590604026845</v>
      </c>
      <c r="I7" s="204">
        <v>100.67114093959731</v>
      </c>
      <c r="J7" s="203">
        <v>102.95302013422818</v>
      </c>
      <c r="K7" s="204">
        <v>108.59060402684564</v>
      </c>
      <c r="L7" s="205"/>
      <c r="M7" s="203">
        <v>141.87919463087249</v>
      </c>
      <c r="N7" s="204">
        <v>150.20134228187919</v>
      </c>
      <c r="O7" s="203">
        <v>189.79865771812081</v>
      </c>
      <c r="P7" s="204">
        <v>202.41610738255034</v>
      </c>
      <c r="Q7" s="205"/>
      <c r="R7" s="203">
        <v>213.95973154362414</v>
      </c>
      <c r="S7" s="204">
        <v>235.43624161073825</v>
      </c>
      <c r="T7" s="203">
        <v>251.54362416107381</v>
      </c>
      <c r="U7" s="204">
        <v>269.66442953020135</v>
      </c>
      <c r="V7" s="205"/>
      <c r="W7" s="203">
        <v>282.55033557046977</v>
      </c>
      <c r="X7" s="204">
        <v>314.49664429530202</v>
      </c>
      <c r="Y7" s="203">
        <v>342.01342281879192</v>
      </c>
      <c r="Z7" s="204">
        <v>357.98657718120802</v>
      </c>
      <c r="AA7" s="203"/>
      <c r="AB7" s="203">
        <v>396.6442953020134</v>
      </c>
      <c r="AC7" s="204">
        <v>410.33557046979865</v>
      </c>
      <c r="AD7" s="203">
        <v>419.73154362416108</v>
      </c>
      <c r="AE7" s="204">
        <v>432.88590604026842</v>
      </c>
      <c r="AF7" s="203"/>
      <c r="AG7" s="203">
        <v>433.55704697986579</v>
      </c>
      <c r="AH7" s="204">
        <v>437.98657718120802</v>
      </c>
      <c r="AI7" s="203">
        <v>441.744966442953</v>
      </c>
      <c r="AJ7" s="204">
        <v>437.58389261744964</v>
      </c>
      <c r="AK7" s="203"/>
      <c r="AL7" s="203">
        <v>440.53691275167785</v>
      </c>
      <c r="AM7" s="204">
        <v>437.04697986577179</v>
      </c>
      <c r="AN7" s="203">
        <v>435.30201342281879</v>
      </c>
      <c r="AO7" s="204">
        <v>436.51006711409394</v>
      </c>
      <c r="AP7" s="203"/>
      <c r="AQ7" s="203">
        <v>433.28859060402681</v>
      </c>
      <c r="AR7" s="204">
        <v>427.65100671140937</v>
      </c>
      <c r="AS7" s="203">
        <v>426.04026845637583</v>
      </c>
      <c r="AT7" s="204">
        <v>421.20805369127515</v>
      </c>
      <c r="AU7" s="203"/>
      <c r="AV7" s="203">
        <v>414.36241610738256</v>
      </c>
      <c r="AW7" s="204">
        <v>409.39597315436242</v>
      </c>
      <c r="AX7" s="203">
        <v>412.75167785234896</v>
      </c>
      <c r="AY7" s="204">
        <v>407.38255033557044</v>
      </c>
      <c r="AZ7" s="203"/>
      <c r="BA7" s="203">
        <v>410.33557046979865</v>
      </c>
      <c r="BB7" s="204">
        <v>368.05369127516775</v>
      </c>
      <c r="BC7" s="203">
        <v>361.87919463087246</v>
      </c>
      <c r="BD7" s="204">
        <v>367.2</v>
      </c>
      <c r="BE7" s="203"/>
      <c r="BF7" s="203">
        <v>365.5</v>
      </c>
      <c r="BG7" s="204">
        <v>359.3</v>
      </c>
      <c r="BH7" s="203">
        <v>334.4</v>
      </c>
      <c r="BI7" s="204">
        <v>272.8</v>
      </c>
      <c r="BJ7" s="203"/>
      <c r="BK7" s="203">
        <v>627.79999999999995</v>
      </c>
      <c r="BL7" s="204">
        <v>720.8</v>
      </c>
      <c r="BM7" s="203">
        <v>709.1</v>
      </c>
      <c r="BN7" s="204">
        <v>698.9</v>
      </c>
      <c r="BO7" s="203"/>
      <c r="BP7" s="203">
        <v>673.2</v>
      </c>
      <c r="BQ7" s="204">
        <v>656.2</v>
      </c>
      <c r="BR7" s="203">
        <v>651.20000000000005</v>
      </c>
      <c r="BS7" s="204">
        <v>645.20000000000005</v>
      </c>
    </row>
    <row r="8" spans="1:71" s="98" customFormat="1" x14ac:dyDescent="0.2">
      <c r="A8" s="98" t="s">
        <v>62</v>
      </c>
      <c r="B8" s="99"/>
      <c r="C8" s="206">
        <v>54.228187919463089</v>
      </c>
      <c r="D8" s="207">
        <v>52.75167785234899</v>
      </c>
      <c r="E8" s="206">
        <v>50.604026845637584</v>
      </c>
      <c r="F8" s="207">
        <v>53.020134228187921</v>
      </c>
      <c r="G8" s="208"/>
      <c r="H8" s="206">
        <v>55.302013422818789</v>
      </c>
      <c r="I8" s="207">
        <v>56.510067114093957</v>
      </c>
      <c r="J8" s="206">
        <v>54.899328859060404</v>
      </c>
      <c r="K8" s="207">
        <v>74.630872483221481</v>
      </c>
      <c r="L8" s="208"/>
      <c r="M8" s="206">
        <v>73.422818791946312</v>
      </c>
      <c r="N8" s="207">
        <v>74.765100671140942</v>
      </c>
      <c r="O8" s="206">
        <v>81.208053691275168</v>
      </c>
      <c r="P8" s="207">
        <v>72.617449664429529</v>
      </c>
      <c r="Q8" s="208"/>
      <c r="R8" s="206">
        <v>77.449664429530202</v>
      </c>
      <c r="S8" s="207">
        <v>89.798657718120808</v>
      </c>
      <c r="T8" s="206">
        <v>96.510067114093957</v>
      </c>
      <c r="U8" s="207">
        <v>97.718120805369125</v>
      </c>
      <c r="V8" s="208"/>
      <c r="W8" s="206">
        <v>102.95302013422818</v>
      </c>
      <c r="X8" s="207">
        <v>108.45637583892618</v>
      </c>
      <c r="Y8" s="206">
        <v>113.15436241610738</v>
      </c>
      <c r="Z8" s="207">
        <v>118.65771812080537</v>
      </c>
      <c r="AA8" s="206"/>
      <c r="AB8" s="206">
        <v>120.93959731543625</v>
      </c>
      <c r="AC8" s="207">
        <v>114.496644295302</v>
      </c>
      <c r="AD8" s="206">
        <v>112.48322147651007</v>
      </c>
      <c r="AE8" s="207">
        <v>130.46979865771812</v>
      </c>
      <c r="AF8" s="206"/>
      <c r="AG8" s="206">
        <v>131.6778523489933</v>
      </c>
      <c r="AH8" s="207">
        <v>133.02013422818791</v>
      </c>
      <c r="AI8" s="206">
        <v>143.62416107382549</v>
      </c>
      <c r="AJ8" s="207">
        <v>170.46979865771812</v>
      </c>
      <c r="AK8" s="206"/>
      <c r="AL8" s="206">
        <v>89.127516778523486</v>
      </c>
      <c r="AM8" s="207">
        <v>90.469798657718115</v>
      </c>
      <c r="AN8" s="206">
        <v>87.785234899328856</v>
      </c>
      <c r="AO8" s="207">
        <v>104.56375838926174</v>
      </c>
      <c r="AP8" s="206"/>
      <c r="AQ8" s="206">
        <v>107.38255033557047</v>
      </c>
      <c r="AR8" s="207">
        <v>103.89261744966443</v>
      </c>
      <c r="AS8" s="206">
        <v>96.107382550335572</v>
      </c>
      <c r="AT8" s="207">
        <v>103.22147651006711</v>
      </c>
      <c r="AU8" s="206"/>
      <c r="AV8" s="206">
        <v>90.469798657718115</v>
      </c>
      <c r="AW8" s="207">
        <v>102.14765100671141</v>
      </c>
      <c r="AX8" s="206">
        <v>107.38255033557047</v>
      </c>
      <c r="AY8" s="207">
        <v>101.87919463087248</v>
      </c>
      <c r="AZ8" s="206"/>
      <c r="BA8" s="206">
        <v>95.302013422818789</v>
      </c>
      <c r="BB8" s="207">
        <v>85.637583892617442</v>
      </c>
      <c r="BC8" s="206">
        <v>89.664429530201346</v>
      </c>
      <c r="BD8" s="207">
        <v>86.6</v>
      </c>
      <c r="BE8" s="206"/>
      <c r="BF8" s="206">
        <v>84.6</v>
      </c>
      <c r="BG8" s="207">
        <v>85.8</v>
      </c>
      <c r="BH8" s="206">
        <v>84.5</v>
      </c>
      <c r="BI8" s="207">
        <v>36</v>
      </c>
      <c r="BJ8" s="206"/>
      <c r="BK8" s="206">
        <v>43.1</v>
      </c>
      <c r="BL8" s="207">
        <v>49.6</v>
      </c>
      <c r="BM8" s="206">
        <v>52.1</v>
      </c>
      <c r="BN8" s="207">
        <v>51.9</v>
      </c>
      <c r="BO8" s="206"/>
      <c r="BP8" s="206">
        <v>56.3</v>
      </c>
      <c r="BQ8" s="207">
        <v>57.8</v>
      </c>
      <c r="BR8" s="206">
        <v>64.8</v>
      </c>
      <c r="BS8" s="207">
        <v>29.7</v>
      </c>
    </row>
    <row r="9" spans="1:71" s="100" customFormat="1" x14ac:dyDescent="0.2">
      <c r="A9" s="100" t="s">
        <v>63</v>
      </c>
      <c r="B9" s="101"/>
      <c r="C9" s="209">
        <f>SUM(C6:C8)</f>
        <v>292.48322147651004</v>
      </c>
      <c r="D9" s="210">
        <f>SUM(D6:D8)</f>
        <v>296.510067114094</v>
      </c>
      <c r="E9" s="209">
        <f>SUM(E6:E8)</f>
        <v>298.65771812080538</v>
      </c>
      <c r="F9" s="210">
        <f>SUM(F6:F8)</f>
        <v>296.77852348993287</v>
      </c>
      <c r="G9" s="211"/>
      <c r="H9" s="209">
        <f>SUM(H6:H8)</f>
        <v>304.16107382550331</v>
      </c>
      <c r="I9" s="210">
        <f>SUM(I6:I8)</f>
        <v>289.93288590604027</v>
      </c>
      <c r="J9" s="209">
        <f>SUM(J6:J8)</f>
        <v>291.40939597315435</v>
      </c>
      <c r="K9" s="210">
        <f>SUM(K6:K8)</f>
        <v>293.28859060402687</v>
      </c>
      <c r="L9" s="211"/>
      <c r="M9" s="209">
        <f>SUM(M6:M8)</f>
        <v>371.67785234899333</v>
      </c>
      <c r="N9" s="210">
        <f>SUM(N6:N8)</f>
        <v>390.60402684563758</v>
      </c>
      <c r="O9" s="209">
        <f>SUM(O6:O8)</f>
        <v>449.66442953020135</v>
      </c>
      <c r="P9" s="210">
        <f>SUM(P6:P8)</f>
        <v>461.20805369127515</v>
      </c>
      <c r="Q9" s="211"/>
      <c r="R9" s="209">
        <f>SUM(R6:R8)</f>
        <v>483.62416107382546</v>
      </c>
      <c r="S9" s="210">
        <f>SUM(S6:S8)</f>
        <v>527.3825503355705</v>
      </c>
      <c r="T9" s="209">
        <f>SUM(T6:T8)</f>
        <v>560.80536912751677</v>
      </c>
      <c r="U9" s="210">
        <f>SUM(U6:U8)</f>
        <v>580.13422818791946</v>
      </c>
      <c r="V9" s="211"/>
      <c r="W9" s="209">
        <f>SUM(W6:W8)</f>
        <v>605.90604026845631</v>
      </c>
      <c r="X9" s="210">
        <f>SUM(X6:X8)</f>
        <v>638.38926174496646</v>
      </c>
      <c r="Y9" s="209">
        <f>SUM(Y6:Y8)</f>
        <v>668.724832214765</v>
      </c>
      <c r="Z9" s="210">
        <f>SUM(Z6:Z8)</f>
        <v>694.22818791946304</v>
      </c>
      <c r="AA9" s="209"/>
      <c r="AB9" s="209">
        <f>SUM(AB6:AB8)</f>
        <v>743.22147651006708</v>
      </c>
      <c r="AC9" s="210">
        <f>SUM(AC6:AC8)</f>
        <v>767.24832214765092</v>
      </c>
      <c r="AD9" s="209">
        <f>SUM(AD6:AD8)</f>
        <v>762.28187919463085</v>
      </c>
      <c r="AE9" s="210">
        <f>SUM(AE6:AE8)</f>
        <v>800.53691275167785</v>
      </c>
      <c r="AF9" s="209"/>
      <c r="AG9" s="209">
        <f>SUM(AG6:AG8)</f>
        <v>807.24832214765104</v>
      </c>
      <c r="AH9" s="210">
        <f>SUM(AH6:AH8)</f>
        <v>814.09395973154358</v>
      </c>
      <c r="AI9" s="209">
        <f>SUM(AI6:AI8)</f>
        <v>841.87919463087246</v>
      </c>
      <c r="AJ9" s="210">
        <f>SUM(AJ6:AJ8)</f>
        <v>874.89932885906035</v>
      </c>
      <c r="AK9" s="209"/>
      <c r="AL9" s="209">
        <f>SUM(AL6:AL8)</f>
        <v>793.15436241610735</v>
      </c>
      <c r="AM9" s="210">
        <f>SUM(AM6:AM8)</f>
        <v>799.86577181208042</v>
      </c>
      <c r="AN9" s="209">
        <f>SUM(AN6:AN8)</f>
        <v>794.22818791946304</v>
      </c>
      <c r="AO9" s="210">
        <f>SUM(AO6:AO8)</f>
        <v>810.60402684563746</v>
      </c>
      <c r="AP9" s="209"/>
      <c r="AQ9" s="209">
        <f>SUM(AQ6:AQ8)</f>
        <v>814.09395973154358</v>
      </c>
      <c r="AR9" s="210">
        <f>SUM(AR6:AR8)</f>
        <v>802.28187919463085</v>
      </c>
      <c r="AS9" s="209">
        <f>SUM(AS6:AS8)</f>
        <v>792.48322147651015</v>
      </c>
      <c r="AT9" s="210">
        <f>SUM(AT6:AT8)</f>
        <v>793.02013422818789</v>
      </c>
      <c r="AU9" s="209"/>
      <c r="AV9" s="209">
        <f>SUM(AV6:AV8)</f>
        <v>775.97315436241604</v>
      </c>
      <c r="AW9" s="210">
        <f>SUM(AW6:AW8)</f>
        <v>785.10067114093954</v>
      </c>
      <c r="AX9" s="209">
        <f>SUM(AX6:AX8)</f>
        <v>806.30872483221481</v>
      </c>
      <c r="AY9" s="210">
        <f>SUM(AY6:AY8)</f>
        <v>801.20805369127515</v>
      </c>
      <c r="AZ9" s="209"/>
      <c r="BA9" s="209">
        <f>SUM(BA6:BA8)</f>
        <v>817.18120805369131</v>
      </c>
      <c r="BB9" s="210">
        <f>SUM(BB6:BB8)</f>
        <v>775.83892617449646</v>
      </c>
      <c r="BC9" s="212">
        <f>SUM(BC6:BC8)</f>
        <v>771.14093959731542</v>
      </c>
      <c r="BD9" s="210">
        <f>SUM(BD6:BD8)</f>
        <v>787</v>
      </c>
      <c r="BE9" s="209"/>
      <c r="BF9" s="209">
        <f>SUM(BF6:BF8)</f>
        <v>819.30000000000007</v>
      </c>
      <c r="BG9" s="210">
        <f>SUM(BG6:BG8)</f>
        <v>818.59999999999991</v>
      </c>
      <c r="BH9" s="209">
        <f>SUM(BH6:BH8)</f>
        <v>785</v>
      </c>
      <c r="BI9" s="210">
        <f>SUM(BI6:BI8)</f>
        <v>382.3</v>
      </c>
      <c r="BJ9" s="209"/>
      <c r="BK9" s="209">
        <f>SUM(BK6:BK8)</f>
        <v>1247</v>
      </c>
      <c r="BL9" s="210">
        <f>SUM(BL6:BL8)</f>
        <v>1344.5</v>
      </c>
      <c r="BM9" s="209">
        <f>SUM(BM6:BM8)</f>
        <v>1355.8</v>
      </c>
      <c r="BN9" s="210">
        <f>SUM(BN6:BN8)</f>
        <v>1348.2</v>
      </c>
      <c r="BO9" s="209"/>
      <c r="BP9" s="209">
        <f>SUM(BP6:BP8)</f>
        <v>1306.1000000000001</v>
      </c>
      <c r="BQ9" s="210">
        <f>SUM(BQ6:BQ8)</f>
        <v>1285.8999999999999</v>
      </c>
      <c r="BR9" s="209">
        <f>SUM(BR6:BR8)</f>
        <v>1294.2</v>
      </c>
      <c r="BS9" s="210">
        <f>SUM(BS6:BS8)</f>
        <v>1264.1000000000001</v>
      </c>
    </row>
    <row r="10" spans="1:71" x14ac:dyDescent="0.2">
      <c r="C10" s="203"/>
      <c r="D10" s="204"/>
      <c r="E10" s="203"/>
      <c r="F10" s="204"/>
      <c r="G10" s="205"/>
      <c r="H10" s="203"/>
      <c r="I10" s="204"/>
      <c r="J10" s="203"/>
      <c r="K10" s="204"/>
      <c r="L10" s="205"/>
      <c r="M10" s="203"/>
      <c r="N10" s="204"/>
      <c r="O10" s="203"/>
      <c r="P10" s="204"/>
      <c r="Q10" s="205"/>
      <c r="R10" s="203"/>
      <c r="S10" s="204"/>
      <c r="T10" s="203"/>
      <c r="U10" s="204"/>
      <c r="V10" s="205"/>
      <c r="W10" s="203"/>
      <c r="X10" s="204"/>
      <c r="Y10" s="203"/>
      <c r="Z10" s="204"/>
      <c r="AA10" s="203"/>
      <c r="AB10" s="203"/>
      <c r="AC10" s="204"/>
      <c r="AD10" s="203"/>
      <c r="AE10" s="204"/>
      <c r="AF10" s="203"/>
      <c r="AG10" s="203"/>
      <c r="AH10" s="204"/>
      <c r="AI10" s="203"/>
      <c r="AJ10" s="204"/>
      <c r="AK10" s="203"/>
      <c r="AL10" s="203"/>
      <c r="AM10" s="204"/>
      <c r="AN10" s="203"/>
      <c r="AO10" s="204"/>
      <c r="AP10" s="203"/>
      <c r="AQ10" s="203"/>
      <c r="AR10" s="204"/>
      <c r="AS10" s="203"/>
      <c r="AT10" s="204"/>
      <c r="AU10" s="203"/>
      <c r="AV10" s="203"/>
      <c r="AW10" s="204"/>
      <c r="AX10" s="203"/>
      <c r="AY10" s="204"/>
      <c r="AZ10" s="203"/>
      <c r="BA10" s="203"/>
      <c r="BB10" s="204"/>
      <c r="BC10" s="203"/>
      <c r="BD10" s="204"/>
      <c r="BE10" s="203"/>
      <c r="BF10" s="203"/>
      <c r="BG10" s="204"/>
      <c r="BH10" s="203"/>
      <c r="BI10" s="204"/>
      <c r="BJ10" s="203"/>
      <c r="BK10" s="203"/>
      <c r="BL10" s="204"/>
      <c r="BM10" s="203"/>
      <c r="BN10" s="204"/>
      <c r="BO10" s="203"/>
      <c r="BP10" s="203"/>
      <c r="BQ10" s="204"/>
      <c r="BR10" s="203"/>
      <c r="BS10" s="204"/>
    </row>
    <row r="11" spans="1:71" x14ac:dyDescent="0.2">
      <c r="A11" s="15" t="s">
        <v>64</v>
      </c>
      <c r="C11" s="203">
        <v>201.74496644295303</v>
      </c>
      <c r="D11" s="204">
        <v>203.35570469798657</v>
      </c>
      <c r="E11" s="203">
        <v>208.99328859060401</v>
      </c>
      <c r="F11" s="204">
        <v>217.98657718120805</v>
      </c>
      <c r="G11" s="205"/>
      <c r="H11" s="203">
        <v>240</v>
      </c>
      <c r="I11" s="204">
        <v>256.24161073825502</v>
      </c>
      <c r="J11" s="203">
        <v>273.28859060402687</v>
      </c>
      <c r="K11" s="204">
        <v>254.22818791946307</v>
      </c>
      <c r="L11" s="205"/>
      <c r="M11" s="203">
        <v>298.255033557047</v>
      </c>
      <c r="N11" s="204">
        <v>315.70469798657717</v>
      </c>
      <c r="O11" s="203">
        <v>342.68456375838923</v>
      </c>
      <c r="P11" s="204">
        <v>306.97986577181206</v>
      </c>
      <c r="Q11" s="205"/>
      <c r="R11" s="203">
        <v>354.63087248322148</v>
      </c>
      <c r="S11" s="204">
        <v>361.47651006711408</v>
      </c>
      <c r="T11" s="203">
        <v>365.23489932885906</v>
      </c>
      <c r="U11" s="204">
        <v>299.06040268456377</v>
      </c>
      <c r="V11" s="205"/>
      <c r="W11" s="203">
        <v>311.40939597315435</v>
      </c>
      <c r="X11" s="204">
        <v>288.59060402684565</v>
      </c>
      <c r="Y11" s="203">
        <v>282.95302013422815</v>
      </c>
      <c r="Z11" s="204">
        <v>294.63087248322148</v>
      </c>
      <c r="AA11" s="203"/>
      <c r="AB11" s="203">
        <v>341.61073825503354</v>
      </c>
      <c r="AC11" s="204">
        <v>383.22147651006708</v>
      </c>
      <c r="AD11" s="203">
        <v>388.85906040268458</v>
      </c>
      <c r="AE11" s="204">
        <v>381.20805369127515</v>
      </c>
      <c r="AF11" s="203"/>
      <c r="AG11" s="203">
        <v>457.7181208053691</v>
      </c>
      <c r="AH11" s="204">
        <v>433.82550335570471</v>
      </c>
      <c r="AI11" s="203">
        <v>447.38255033557044</v>
      </c>
      <c r="AJ11" s="204">
        <v>387.78523489932883</v>
      </c>
      <c r="AK11" s="203"/>
      <c r="AL11" s="203">
        <v>446.30872483221475</v>
      </c>
      <c r="AM11" s="204">
        <v>438.79194630872485</v>
      </c>
      <c r="AN11" s="203">
        <v>439.32885906040269</v>
      </c>
      <c r="AO11" s="204">
        <v>368.32214765100673</v>
      </c>
      <c r="AP11" s="203"/>
      <c r="AQ11" s="203">
        <v>455.9731543624161</v>
      </c>
      <c r="AR11" s="204">
        <v>405.50335570469798</v>
      </c>
      <c r="AS11" s="203">
        <v>399.06040268456377</v>
      </c>
      <c r="AT11" s="204">
        <v>356.6442953020134</v>
      </c>
      <c r="AU11" s="203"/>
      <c r="AV11" s="203">
        <v>382.28187919463085</v>
      </c>
      <c r="AW11" s="204">
        <v>371.54362416107381</v>
      </c>
      <c r="AX11" s="203">
        <v>388.05369127516775</v>
      </c>
      <c r="AY11" s="204">
        <v>350.60402684563758</v>
      </c>
      <c r="AZ11" s="203"/>
      <c r="BA11" s="203">
        <v>392.21476510067112</v>
      </c>
      <c r="BB11" s="204">
        <v>405.50335570469798</v>
      </c>
      <c r="BC11" s="203">
        <v>380</v>
      </c>
      <c r="BD11" s="204">
        <v>342.5</v>
      </c>
      <c r="BE11" s="203"/>
      <c r="BF11" s="203">
        <v>370.6</v>
      </c>
      <c r="BG11" s="204">
        <v>393.4</v>
      </c>
      <c r="BH11" s="203">
        <v>349.8</v>
      </c>
      <c r="BI11" s="204">
        <v>142.1</v>
      </c>
      <c r="BJ11" s="203"/>
      <c r="BK11" s="203">
        <v>216.6</v>
      </c>
      <c r="BL11" s="204">
        <v>225.9</v>
      </c>
      <c r="BM11" s="203">
        <v>219.6</v>
      </c>
      <c r="BN11" s="204">
        <v>226.1</v>
      </c>
      <c r="BO11" s="203"/>
      <c r="BP11" s="203">
        <v>247.4</v>
      </c>
      <c r="BQ11" s="204">
        <v>245.7</v>
      </c>
      <c r="BR11" s="203">
        <v>237.2</v>
      </c>
      <c r="BS11" s="204">
        <v>219.8</v>
      </c>
    </row>
    <row r="12" spans="1:71" x14ac:dyDescent="0.2">
      <c r="A12" s="15" t="s">
        <v>20</v>
      </c>
      <c r="C12" s="203">
        <v>248.3221476510067</v>
      </c>
      <c r="D12" s="204">
        <v>271.67785234899327</v>
      </c>
      <c r="E12" s="203">
        <v>276.91275167785233</v>
      </c>
      <c r="F12" s="204">
        <v>273.1543624161074</v>
      </c>
      <c r="G12" s="205"/>
      <c r="H12" s="203">
        <v>297.18120805369125</v>
      </c>
      <c r="I12" s="204">
        <v>319.06040268456377</v>
      </c>
      <c r="J12" s="203">
        <v>317.18120805369125</v>
      </c>
      <c r="K12" s="204">
        <v>295.9731543624161</v>
      </c>
      <c r="L12" s="205"/>
      <c r="M12" s="203">
        <v>347.24832214765098</v>
      </c>
      <c r="N12" s="204">
        <v>403.89261744966444</v>
      </c>
      <c r="O12" s="203">
        <v>390.33557046979865</v>
      </c>
      <c r="P12" s="204">
        <v>378.38926174496646</v>
      </c>
      <c r="Q12" s="205"/>
      <c r="R12" s="203">
        <v>395.70469798657717</v>
      </c>
      <c r="S12" s="204">
        <v>425.7718120805369</v>
      </c>
      <c r="T12" s="203">
        <v>403.22147651006708</v>
      </c>
      <c r="U12" s="204">
        <v>375.57046979865771</v>
      </c>
      <c r="V12" s="205"/>
      <c r="W12" s="203">
        <v>361.34228187919462</v>
      </c>
      <c r="X12" s="204">
        <v>371.54362416107381</v>
      </c>
      <c r="Y12" s="203">
        <v>374.36241610738256</v>
      </c>
      <c r="Z12" s="204">
        <v>335.9731543624161</v>
      </c>
      <c r="AA12" s="203"/>
      <c r="AB12" s="203">
        <v>385.63758389261744</v>
      </c>
      <c r="AC12" s="204">
        <v>445.7718120805369</v>
      </c>
      <c r="AD12" s="203">
        <v>478.12080536912748</v>
      </c>
      <c r="AE12" s="204">
        <v>470.46979865771812</v>
      </c>
      <c r="AF12" s="203"/>
      <c r="AG12" s="203">
        <v>534.89932885906035</v>
      </c>
      <c r="AH12" s="204">
        <v>534.76510067114089</v>
      </c>
      <c r="AI12" s="203">
        <v>509.53020134228188</v>
      </c>
      <c r="AJ12" s="204">
        <v>504.83221476510067</v>
      </c>
      <c r="AK12" s="203"/>
      <c r="AL12" s="203">
        <v>490.06711409395973</v>
      </c>
      <c r="AM12" s="204">
        <v>525.36912751677846</v>
      </c>
      <c r="AN12" s="203">
        <v>501.744966442953</v>
      </c>
      <c r="AO12" s="204">
        <v>508.72483221476512</v>
      </c>
      <c r="AP12" s="203"/>
      <c r="AQ12" s="203">
        <v>512.48322147651004</v>
      </c>
      <c r="AR12" s="204">
        <v>531.00671140939596</v>
      </c>
      <c r="AS12" s="203">
        <v>577.04697986577185</v>
      </c>
      <c r="AT12" s="204">
        <v>544.16107382550331</v>
      </c>
      <c r="AU12" s="203"/>
      <c r="AV12" s="203">
        <v>550.60402684563758</v>
      </c>
      <c r="AW12" s="204">
        <v>555.70469798657712</v>
      </c>
      <c r="AX12" s="203">
        <v>567.24832214765104</v>
      </c>
      <c r="AY12" s="204">
        <v>454.09395973154363</v>
      </c>
      <c r="AZ12" s="203"/>
      <c r="BA12" s="203">
        <v>584.96644295302008</v>
      </c>
      <c r="BB12" s="204">
        <v>615.30201342281873</v>
      </c>
      <c r="BC12" s="203">
        <v>546.97986577181211</v>
      </c>
      <c r="BD12" s="204">
        <f>490.7+5.1</f>
        <v>495.8</v>
      </c>
      <c r="BE12" s="203"/>
      <c r="BF12" s="203">
        <v>501.5</v>
      </c>
      <c r="BG12" s="204">
        <v>544.1</v>
      </c>
      <c r="BH12" s="203">
        <v>459.4</v>
      </c>
      <c r="BI12" s="204">
        <v>209.2</v>
      </c>
      <c r="BJ12" s="203"/>
      <c r="BK12" s="203">
        <v>299.60000000000002</v>
      </c>
      <c r="BL12" s="204">
        <v>356.5</v>
      </c>
      <c r="BM12" s="203">
        <v>332.2</v>
      </c>
      <c r="BN12" s="204">
        <f>267.3+16.2+2.1</f>
        <v>285.60000000000002</v>
      </c>
      <c r="BO12" s="203"/>
      <c r="BP12" s="203">
        <f>339.6+0.2</f>
        <v>339.8</v>
      </c>
      <c r="BQ12" s="204">
        <f>383+0.1</f>
        <v>383.1</v>
      </c>
      <c r="BR12" s="203">
        <f>396.6+0.8</f>
        <v>397.40000000000003</v>
      </c>
      <c r="BS12" s="204">
        <f>339+8+0.1</f>
        <v>347.1</v>
      </c>
    </row>
    <row r="13" spans="1:71" x14ac:dyDescent="0.2">
      <c r="A13" s="15" t="s">
        <v>21</v>
      </c>
      <c r="C13" s="203">
        <v>5.9060402684563753</v>
      </c>
      <c r="D13" s="204">
        <v>4.1610738255033555</v>
      </c>
      <c r="E13" s="203">
        <v>3.8926174496644292</v>
      </c>
      <c r="F13" s="204">
        <v>3.7583892617449663</v>
      </c>
      <c r="G13" s="205"/>
      <c r="H13" s="203">
        <v>3.4899328859060401</v>
      </c>
      <c r="I13" s="204">
        <v>1.8791946308724832</v>
      </c>
      <c r="J13" s="203">
        <v>1.8791946308724832</v>
      </c>
      <c r="K13" s="204">
        <v>6.5771812080536911</v>
      </c>
      <c r="L13" s="205"/>
      <c r="M13" s="203">
        <v>4.9664429530201337</v>
      </c>
      <c r="N13" s="204">
        <v>4.0268456375838921</v>
      </c>
      <c r="O13" s="203">
        <v>3.2214765100671139</v>
      </c>
      <c r="P13" s="204">
        <v>2.4161073825503356</v>
      </c>
      <c r="Q13" s="205"/>
      <c r="R13" s="203">
        <v>1.7449664429530201</v>
      </c>
      <c r="S13" s="204">
        <v>0</v>
      </c>
      <c r="T13" s="203">
        <v>0</v>
      </c>
      <c r="U13" s="204">
        <v>0</v>
      </c>
      <c r="V13" s="205"/>
      <c r="W13" s="203">
        <v>0</v>
      </c>
      <c r="X13" s="204">
        <v>0</v>
      </c>
      <c r="Y13" s="203">
        <v>0</v>
      </c>
      <c r="Z13" s="204">
        <v>0</v>
      </c>
      <c r="AA13" s="203"/>
      <c r="AB13" s="203">
        <v>0</v>
      </c>
      <c r="AC13" s="204">
        <v>0</v>
      </c>
      <c r="AD13" s="203">
        <v>0</v>
      </c>
      <c r="AE13" s="204">
        <v>0</v>
      </c>
      <c r="AF13" s="203"/>
      <c r="AG13" s="203">
        <v>0</v>
      </c>
      <c r="AH13" s="204">
        <v>0</v>
      </c>
      <c r="AI13" s="203">
        <v>0</v>
      </c>
      <c r="AJ13" s="204">
        <v>0</v>
      </c>
      <c r="AK13" s="203"/>
      <c r="AL13" s="203">
        <v>0</v>
      </c>
      <c r="AM13" s="204">
        <v>0</v>
      </c>
      <c r="AN13" s="203">
        <v>0</v>
      </c>
      <c r="AO13" s="204">
        <v>0</v>
      </c>
      <c r="AP13" s="203"/>
      <c r="AQ13" s="203"/>
      <c r="AR13" s="204"/>
      <c r="AS13" s="203"/>
      <c r="AT13" s="204"/>
      <c r="AU13" s="203"/>
      <c r="AV13" s="203"/>
      <c r="AW13" s="204"/>
      <c r="AX13" s="203"/>
      <c r="AY13" s="204"/>
      <c r="AZ13" s="203"/>
      <c r="BA13" s="203"/>
      <c r="BB13" s="204"/>
      <c r="BC13" s="203"/>
      <c r="BD13" s="204"/>
      <c r="BE13" s="203"/>
      <c r="BF13" s="203"/>
      <c r="BG13" s="204"/>
      <c r="BH13" s="203"/>
      <c r="BI13" s="204"/>
      <c r="BJ13" s="203"/>
      <c r="BK13" s="203"/>
      <c r="BL13" s="204"/>
      <c r="BM13" s="203"/>
      <c r="BN13" s="204"/>
      <c r="BO13" s="203"/>
      <c r="BP13" s="203"/>
      <c r="BQ13" s="204"/>
      <c r="BR13" s="203"/>
      <c r="BS13" s="204"/>
    </row>
    <row r="14" spans="1:71" s="104" customFormat="1" x14ac:dyDescent="0.2">
      <c r="A14" s="104" t="s">
        <v>22</v>
      </c>
      <c r="B14" s="151"/>
      <c r="C14" s="213">
        <v>46.442953020134226</v>
      </c>
      <c r="D14" s="214">
        <v>33.825503355704697</v>
      </c>
      <c r="E14" s="213">
        <v>30.604026845637584</v>
      </c>
      <c r="F14" s="214">
        <v>37.449664429530202</v>
      </c>
      <c r="G14" s="215"/>
      <c r="H14" s="213">
        <v>21.879194630872483</v>
      </c>
      <c r="I14" s="214">
        <v>61.208053691275168</v>
      </c>
      <c r="J14" s="213">
        <v>41.073825503355707</v>
      </c>
      <c r="K14" s="214">
        <v>136.51006711409394</v>
      </c>
      <c r="L14" s="215"/>
      <c r="M14" s="213">
        <v>50.335570469798654</v>
      </c>
      <c r="N14" s="214">
        <v>38.523489932885909</v>
      </c>
      <c r="O14" s="213">
        <v>43.758389261744966</v>
      </c>
      <c r="P14" s="214">
        <v>72.348993288590606</v>
      </c>
      <c r="Q14" s="215"/>
      <c r="R14" s="213">
        <v>60.268456375838923</v>
      </c>
      <c r="S14" s="214">
        <v>58.65771812080537</v>
      </c>
      <c r="T14" s="213">
        <v>54.496644295302012</v>
      </c>
      <c r="U14" s="214">
        <v>78.791946308724832</v>
      </c>
      <c r="V14" s="215"/>
      <c r="W14" s="213">
        <v>28.053691275167786</v>
      </c>
      <c r="X14" s="214">
        <v>28.859060402684563</v>
      </c>
      <c r="Y14" s="213">
        <v>28.724832214765101</v>
      </c>
      <c r="Z14" s="214">
        <v>34.09395973154362</v>
      </c>
      <c r="AA14" s="213"/>
      <c r="AB14" s="213">
        <v>27.651006711409394</v>
      </c>
      <c r="AC14" s="214">
        <v>32.483221476510067</v>
      </c>
      <c r="AD14" s="213">
        <v>28.859060402684563</v>
      </c>
      <c r="AE14" s="214">
        <v>33.154362416107382</v>
      </c>
      <c r="AF14" s="213"/>
      <c r="AG14" s="213">
        <v>33.691275167785236</v>
      </c>
      <c r="AH14" s="214">
        <v>33.422818791946305</v>
      </c>
      <c r="AI14" s="213">
        <v>27.651006711409394</v>
      </c>
      <c r="AJ14" s="214">
        <v>36.375838926174495</v>
      </c>
      <c r="AK14" s="213"/>
      <c r="AL14" s="213">
        <v>42.281879194630875</v>
      </c>
      <c r="AM14" s="214">
        <v>32.617449664429529</v>
      </c>
      <c r="AN14" s="213">
        <v>37.583892617449663</v>
      </c>
      <c r="AO14" s="214">
        <v>48.724832214765101</v>
      </c>
      <c r="AP14" s="213"/>
      <c r="AQ14" s="213">
        <v>51.140939597315437</v>
      </c>
      <c r="AR14" s="214">
        <v>52.483221476510067</v>
      </c>
      <c r="AS14" s="213">
        <v>48.053691275167786</v>
      </c>
      <c r="AT14" s="214">
        <v>50.469798657718123</v>
      </c>
      <c r="AU14" s="213"/>
      <c r="AV14" s="213">
        <v>54.630872483221474</v>
      </c>
      <c r="AW14" s="214">
        <v>39.463087248322147</v>
      </c>
      <c r="AX14" s="213">
        <v>41.34228187919463</v>
      </c>
      <c r="AY14" s="214">
        <v>50.201342281879192</v>
      </c>
      <c r="AZ14" s="213"/>
      <c r="BA14" s="213">
        <v>57.04697986577181</v>
      </c>
      <c r="BB14" s="214">
        <v>64.026845637583889</v>
      </c>
      <c r="BC14" s="213">
        <v>37.718120805369125</v>
      </c>
      <c r="BD14" s="214">
        <v>58.3</v>
      </c>
      <c r="BE14" s="213"/>
      <c r="BF14" s="213">
        <v>45</v>
      </c>
      <c r="BG14" s="214">
        <v>31.1</v>
      </c>
      <c r="BH14" s="213">
        <v>22.8</v>
      </c>
      <c r="BI14" s="214">
        <v>127.8</v>
      </c>
      <c r="BJ14" s="213"/>
      <c r="BK14" s="213">
        <v>10.6</v>
      </c>
      <c r="BL14" s="214">
        <v>30.6</v>
      </c>
      <c r="BM14" s="213">
        <v>37.299999999999997</v>
      </c>
      <c r="BN14" s="214">
        <v>44.7</v>
      </c>
      <c r="BO14" s="213"/>
      <c r="BP14" s="213">
        <v>30</v>
      </c>
      <c r="BQ14" s="214">
        <v>11.7</v>
      </c>
      <c r="BR14" s="213">
        <v>9.1999999999999993</v>
      </c>
      <c r="BS14" s="214">
        <v>28.2</v>
      </c>
    </row>
    <row r="15" spans="1:71" s="98" customFormat="1" x14ac:dyDescent="0.2">
      <c r="A15" s="98" t="s">
        <v>148</v>
      </c>
      <c r="B15" s="99"/>
      <c r="C15" s="206"/>
      <c r="D15" s="207"/>
      <c r="E15" s="206"/>
      <c r="F15" s="207"/>
      <c r="G15" s="208"/>
      <c r="H15" s="206"/>
      <c r="I15" s="207"/>
      <c r="J15" s="206"/>
      <c r="K15" s="207"/>
      <c r="L15" s="208"/>
      <c r="M15" s="206"/>
      <c r="N15" s="207"/>
      <c r="O15" s="206"/>
      <c r="P15" s="207"/>
      <c r="Q15" s="208"/>
      <c r="R15" s="206"/>
      <c r="S15" s="207"/>
      <c r="T15" s="206"/>
      <c r="U15" s="207"/>
      <c r="V15" s="208"/>
      <c r="W15" s="206"/>
      <c r="X15" s="207"/>
      <c r="Y15" s="206"/>
      <c r="Z15" s="207"/>
      <c r="AA15" s="206"/>
      <c r="AB15" s="206"/>
      <c r="AC15" s="207"/>
      <c r="AD15" s="206"/>
      <c r="AE15" s="207"/>
      <c r="AF15" s="206"/>
      <c r="AG15" s="206"/>
      <c r="AH15" s="207"/>
      <c r="AI15" s="206"/>
      <c r="AJ15" s="207"/>
      <c r="AK15" s="206"/>
      <c r="AL15" s="206"/>
      <c r="AM15" s="207"/>
      <c r="AN15" s="206"/>
      <c r="AO15" s="207"/>
      <c r="AP15" s="206"/>
      <c r="AQ15" s="206"/>
      <c r="AR15" s="207"/>
      <c r="AS15" s="206"/>
      <c r="AT15" s="207"/>
      <c r="AU15" s="206"/>
      <c r="AV15" s="206"/>
      <c r="AW15" s="207"/>
      <c r="AX15" s="206"/>
      <c r="AY15" s="207"/>
      <c r="AZ15" s="206"/>
      <c r="BA15" s="206"/>
      <c r="BB15" s="207"/>
      <c r="BC15" s="206"/>
      <c r="BD15" s="207"/>
      <c r="BE15" s="206"/>
      <c r="BF15" s="206"/>
      <c r="BG15" s="207"/>
      <c r="BH15" s="206">
        <v>111.6</v>
      </c>
      <c r="BI15" s="207">
        <f>52.7+833</f>
        <v>885.7</v>
      </c>
      <c r="BJ15" s="206"/>
      <c r="BK15" s="206">
        <f>51.5+857.1</f>
        <v>908.6</v>
      </c>
      <c r="BL15" s="207">
        <v>851.5</v>
      </c>
      <c r="BM15" s="206">
        <v>840.6</v>
      </c>
      <c r="BN15" s="207">
        <v>0</v>
      </c>
      <c r="BO15" s="206"/>
      <c r="BP15" s="206"/>
      <c r="BQ15" s="207"/>
      <c r="BR15" s="206"/>
      <c r="BS15" s="207"/>
    </row>
    <row r="16" spans="1:71" s="102" customFormat="1" x14ac:dyDescent="0.2">
      <c r="A16" s="102" t="s">
        <v>23</v>
      </c>
      <c r="B16" s="103"/>
      <c r="C16" s="216">
        <f>SUM(C11:C14)</f>
        <v>502.41610738255031</v>
      </c>
      <c r="D16" s="217">
        <f>SUM(D11:D14)</f>
        <v>513.02013422818789</v>
      </c>
      <c r="E16" s="216">
        <f>SUM(E11:E14)</f>
        <v>520.40268456375838</v>
      </c>
      <c r="F16" s="217">
        <f>SUM(F11:F14)</f>
        <v>532.34899328859058</v>
      </c>
      <c r="G16" s="218"/>
      <c r="H16" s="216">
        <f>SUM(H11:H14)</f>
        <v>562.55033557046977</v>
      </c>
      <c r="I16" s="217">
        <f>SUM(I11:I14)</f>
        <v>638.38926174496646</v>
      </c>
      <c r="J16" s="216">
        <f>SUM(J11:J14)</f>
        <v>633.42281879194627</v>
      </c>
      <c r="K16" s="217">
        <f>SUM(K11:K14)</f>
        <v>693.28859060402692</v>
      </c>
      <c r="L16" s="218"/>
      <c r="M16" s="216">
        <f>SUM(M11:M14)</f>
        <v>700.80536912751666</v>
      </c>
      <c r="N16" s="217">
        <f>SUM(N11:N14)</f>
        <v>762.14765100671138</v>
      </c>
      <c r="O16" s="216">
        <f>SUM(O11:O14)</f>
        <v>779.99999999999989</v>
      </c>
      <c r="P16" s="217">
        <f>SUM(P11:P14)</f>
        <v>760.13422818791935</v>
      </c>
      <c r="Q16" s="218"/>
      <c r="R16" s="216">
        <f>SUM(R11:R14)</f>
        <v>812.34899328859058</v>
      </c>
      <c r="S16" s="217">
        <f>SUM(S11:S14)</f>
        <v>845.90604026845631</v>
      </c>
      <c r="T16" s="216">
        <f>SUM(T11:T14)</f>
        <v>822.95302013422804</v>
      </c>
      <c r="U16" s="217">
        <f>SUM(U11:U14)</f>
        <v>753.42281879194638</v>
      </c>
      <c r="V16" s="218"/>
      <c r="W16" s="216">
        <f>SUM(W11:W14)</f>
        <v>700.80536912751677</v>
      </c>
      <c r="X16" s="217">
        <f>SUM(X11:X14)</f>
        <v>688.99328859060404</v>
      </c>
      <c r="Y16" s="216">
        <f>SUM(Y11:Y14)</f>
        <v>686.04026845637588</v>
      </c>
      <c r="Z16" s="217">
        <f>SUM(Z11:Z14)</f>
        <v>664.69798657718115</v>
      </c>
      <c r="AA16" s="216"/>
      <c r="AB16" s="216">
        <f>SUM(AB11:AB14)</f>
        <v>754.89932885906035</v>
      </c>
      <c r="AC16" s="217">
        <f>SUM(AC11:AC14)</f>
        <v>861.47651006711396</v>
      </c>
      <c r="AD16" s="216">
        <f>SUM(AD11:AD14)</f>
        <v>895.83892617449658</v>
      </c>
      <c r="AE16" s="217">
        <f>SUM(AE11:AE14)</f>
        <v>884.83221476510062</v>
      </c>
      <c r="AF16" s="216"/>
      <c r="AG16" s="216">
        <f>SUM(AG11:AG14)</f>
        <v>1026.3087248322147</v>
      </c>
      <c r="AH16" s="217">
        <f>SUM(AH11:AH14)</f>
        <v>1002.0134228187918</v>
      </c>
      <c r="AI16" s="216">
        <f>SUM(AI11:AI14)</f>
        <v>984.56375838926181</v>
      </c>
      <c r="AJ16" s="217">
        <f>SUM(AJ11:AJ14)</f>
        <v>928.99328859060404</v>
      </c>
      <c r="AK16" s="216"/>
      <c r="AL16" s="216">
        <f>SUM(AL11:AL14)</f>
        <v>978.65771812080538</v>
      </c>
      <c r="AM16" s="217">
        <f>SUM(AM11:AM14)</f>
        <v>996.77852348993281</v>
      </c>
      <c r="AN16" s="216">
        <f>SUM(AN11:AN14)</f>
        <v>978.65771812080538</v>
      </c>
      <c r="AO16" s="217">
        <f>SUM(AO11:AO14)</f>
        <v>925.77181208053696</v>
      </c>
      <c r="AP16" s="216"/>
      <c r="AQ16" s="216">
        <f>SUM(AQ11:AQ14)</f>
        <v>1019.5973154362415</v>
      </c>
      <c r="AR16" s="217">
        <f>SUM(AR11:AR14)</f>
        <v>988.99328859060404</v>
      </c>
      <c r="AS16" s="216">
        <f>SUM(AS11:AS14)</f>
        <v>1024.1610738255033</v>
      </c>
      <c r="AT16" s="217">
        <f>SUM(AT11:AT14)</f>
        <v>951.27516778523488</v>
      </c>
      <c r="AU16" s="216"/>
      <c r="AV16" s="216">
        <f>SUM(AV11:AV14)</f>
        <v>987.51677852348985</v>
      </c>
      <c r="AW16" s="217">
        <f>SUM(AW11:AW14)</f>
        <v>966.71140939597308</v>
      </c>
      <c r="AX16" s="216">
        <f>SUM(AX11:AX14)</f>
        <v>996.64429530201346</v>
      </c>
      <c r="AY16" s="217">
        <f>SUM(AY11:AY14)</f>
        <v>854.89932885906035</v>
      </c>
      <c r="AZ16" s="216"/>
      <c r="BA16" s="216">
        <f>SUM(BA11:BA14)</f>
        <v>1034.2281879194629</v>
      </c>
      <c r="BB16" s="217">
        <f>SUM(BB11:BB14)</f>
        <v>1084.8322147651006</v>
      </c>
      <c r="BC16" s="216">
        <f>SUM(BC11:BC14)</f>
        <v>964.69798657718127</v>
      </c>
      <c r="BD16" s="217">
        <f>SUM(BD11:BD14)</f>
        <v>896.59999999999991</v>
      </c>
      <c r="BE16" s="216"/>
      <c r="BF16" s="216">
        <f>SUM(BF11:BF15)</f>
        <v>917.1</v>
      </c>
      <c r="BG16" s="217">
        <f>SUM(BG11:BG15)</f>
        <v>968.6</v>
      </c>
      <c r="BH16" s="216">
        <f>SUM(BH11:BH15)</f>
        <v>943.6</v>
      </c>
      <c r="BI16" s="217">
        <f>SUM(BI11:BI15)</f>
        <v>1364.8</v>
      </c>
      <c r="BJ16" s="216"/>
      <c r="BK16" s="216">
        <f>SUM(BK11:BK15)</f>
        <v>1435.4</v>
      </c>
      <c r="BL16" s="217">
        <f>SUM(BL11:BL15)</f>
        <v>1464.5</v>
      </c>
      <c r="BM16" s="216">
        <f>SUM(BM11:BM15)</f>
        <v>1429.6999999999998</v>
      </c>
      <c r="BN16" s="217">
        <f>SUM(BN11:BN15)</f>
        <v>556.40000000000009</v>
      </c>
      <c r="BO16" s="216"/>
      <c r="BP16" s="216">
        <f>SUM(BP11:BP15)</f>
        <v>617.20000000000005</v>
      </c>
      <c r="BQ16" s="217">
        <f>SUM(BQ11:BQ15)</f>
        <v>640.5</v>
      </c>
      <c r="BR16" s="216">
        <f>SUM(BR11:BR15)</f>
        <v>643.80000000000007</v>
      </c>
      <c r="BS16" s="217">
        <f>SUM(BS11:BS15)</f>
        <v>595.10000000000014</v>
      </c>
    </row>
    <row r="17" spans="1:71" s="98" customFormat="1" x14ac:dyDescent="0.2">
      <c r="B17" s="99"/>
      <c r="C17" s="206"/>
      <c r="D17" s="207"/>
      <c r="E17" s="206"/>
      <c r="F17" s="207"/>
      <c r="G17" s="208"/>
      <c r="H17" s="206"/>
      <c r="I17" s="207"/>
      <c r="J17" s="206"/>
      <c r="K17" s="207"/>
      <c r="L17" s="208"/>
      <c r="M17" s="206"/>
      <c r="N17" s="207"/>
      <c r="O17" s="206"/>
      <c r="P17" s="207"/>
      <c r="Q17" s="208"/>
      <c r="R17" s="206"/>
      <c r="S17" s="207"/>
      <c r="T17" s="206"/>
      <c r="U17" s="207"/>
      <c r="V17" s="208"/>
      <c r="W17" s="206"/>
      <c r="X17" s="207"/>
      <c r="Y17" s="206"/>
      <c r="Z17" s="207"/>
      <c r="AA17" s="206"/>
      <c r="AB17" s="206"/>
      <c r="AC17" s="207"/>
      <c r="AD17" s="206"/>
      <c r="AE17" s="207"/>
      <c r="AF17" s="206"/>
      <c r="AG17" s="206"/>
      <c r="AH17" s="207"/>
      <c r="AI17" s="206"/>
      <c r="AJ17" s="207"/>
      <c r="AK17" s="206"/>
      <c r="AL17" s="206"/>
      <c r="AM17" s="207"/>
      <c r="AN17" s="206"/>
      <c r="AO17" s="207"/>
      <c r="AP17" s="206"/>
      <c r="AQ17" s="206"/>
      <c r="AR17" s="207"/>
      <c r="AS17" s="206"/>
      <c r="AT17" s="207"/>
      <c r="AU17" s="206"/>
      <c r="AV17" s="206"/>
      <c r="AW17" s="207"/>
      <c r="AX17" s="206"/>
      <c r="AY17" s="207"/>
      <c r="AZ17" s="206"/>
      <c r="BA17" s="206"/>
      <c r="BB17" s="207"/>
      <c r="BC17" s="206"/>
      <c r="BD17" s="207"/>
      <c r="BE17" s="206"/>
      <c r="BF17" s="206"/>
      <c r="BG17" s="207"/>
      <c r="BH17" s="206"/>
      <c r="BI17" s="207"/>
      <c r="BJ17" s="206"/>
      <c r="BK17" s="206"/>
      <c r="BL17" s="207"/>
      <c r="BM17" s="206"/>
      <c r="BN17" s="207"/>
      <c r="BO17" s="206"/>
      <c r="BP17" s="206"/>
      <c r="BQ17" s="207"/>
      <c r="BR17" s="206"/>
      <c r="BS17" s="207"/>
    </row>
    <row r="18" spans="1:71" s="100" customFormat="1" x14ac:dyDescent="0.2">
      <c r="A18" s="100" t="s">
        <v>24</v>
      </c>
      <c r="B18" s="101"/>
      <c r="C18" s="209">
        <f>C16+C9</f>
        <v>794.89932885906035</v>
      </c>
      <c r="D18" s="210">
        <f>D16+D9</f>
        <v>809.53020134228188</v>
      </c>
      <c r="E18" s="209">
        <f>E16+E9</f>
        <v>819.06040268456377</v>
      </c>
      <c r="F18" s="210">
        <f>F16+F9</f>
        <v>829.12751677852339</v>
      </c>
      <c r="G18" s="211"/>
      <c r="H18" s="209">
        <f>H16+H9</f>
        <v>866.71140939597308</v>
      </c>
      <c r="I18" s="210">
        <f>I16+I9</f>
        <v>928.32214765100673</v>
      </c>
      <c r="J18" s="209">
        <f>J16+J9</f>
        <v>924.83221476510062</v>
      </c>
      <c r="K18" s="210">
        <f>K16+K9</f>
        <v>986.57718120805384</v>
      </c>
      <c r="L18" s="211"/>
      <c r="M18" s="209">
        <f>M16+M9</f>
        <v>1072.4832214765099</v>
      </c>
      <c r="N18" s="210">
        <f>N16+N9</f>
        <v>1152.7516778523491</v>
      </c>
      <c r="O18" s="209">
        <f>O16+O9</f>
        <v>1229.6644295302012</v>
      </c>
      <c r="P18" s="210">
        <f>P16+P9</f>
        <v>1221.3422818791946</v>
      </c>
      <c r="Q18" s="211"/>
      <c r="R18" s="209">
        <f>R16+R9</f>
        <v>1295.9731543624162</v>
      </c>
      <c r="S18" s="210">
        <f>S16+S9</f>
        <v>1373.2885906040269</v>
      </c>
      <c r="T18" s="209">
        <f>T16+T9</f>
        <v>1383.7583892617449</v>
      </c>
      <c r="U18" s="210">
        <f>U16+U9</f>
        <v>1333.5570469798658</v>
      </c>
      <c r="V18" s="211"/>
      <c r="W18" s="209">
        <f>W16+W9</f>
        <v>1306.7114093959731</v>
      </c>
      <c r="X18" s="210">
        <f>X16+X9</f>
        <v>1327.3825503355706</v>
      </c>
      <c r="Y18" s="209">
        <f>Y16+Y9</f>
        <v>1354.7651006711408</v>
      </c>
      <c r="Z18" s="210">
        <f>Z16+Z9</f>
        <v>1358.9261744966443</v>
      </c>
      <c r="AA18" s="209"/>
      <c r="AB18" s="209">
        <f>AB16+AB9</f>
        <v>1498.1208053691275</v>
      </c>
      <c r="AC18" s="210">
        <f>AC16+AC9</f>
        <v>1628.7248322147648</v>
      </c>
      <c r="AD18" s="209">
        <f>AD16+AD9</f>
        <v>1658.1208053691275</v>
      </c>
      <c r="AE18" s="210">
        <f>AE16+AE9</f>
        <v>1685.3691275167785</v>
      </c>
      <c r="AF18" s="209"/>
      <c r="AG18" s="209">
        <f>AG16+AG9</f>
        <v>1833.5570469798658</v>
      </c>
      <c r="AH18" s="210">
        <f>AH16+AH9</f>
        <v>1816.1073825503354</v>
      </c>
      <c r="AI18" s="209">
        <f>AI16+AI9</f>
        <v>1826.4429530201342</v>
      </c>
      <c r="AJ18" s="210">
        <f>AJ16+AJ9</f>
        <v>1803.8926174496644</v>
      </c>
      <c r="AK18" s="209"/>
      <c r="AL18" s="209">
        <f>AL16+AL9</f>
        <v>1771.8120805369126</v>
      </c>
      <c r="AM18" s="210">
        <f>AM16+AM9</f>
        <v>1796.6442953020132</v>
      </c>
      <c r="AN18" s="209">
        <f>AN16+AN9</f>
        <v>1772.8859060402683</v>
      </c>
      <c r="AO18" s="210">
        <f>AO16+AO9</f>
        <v>1736.3758389261743</v>
      </c>
      <c r="AP18" s="209"/>
      <c r="AQ18" s="209">
        <f>AQ16+AQ9</f>
        <v>1833.6912751677851</v>
      </c>
      <c r="AR18" s="210">
        <f>AR16+AR9</f>
        <v>1791.2751677852348</v>
      </c>
      <c r="AS18" s="209">
        <f>AS16+AS9</f>
        <v>1816.6442953020135</v>
      </c>
      <c r="AT18" s="210">
        <f>AT16+AT9</f>
        <v>1744.2953020134228</v>
      </c>
      <c r="AU18" s="209"/>
      <c r="AV18" s="209">
        <f>AV16+AV9</f>
        <v>1763.489932885906</v>
      </c>
      <c r="AW18" s="210">
        <f>AW16+AW9</f>
        <v>1751.8120805369126</v>
      </c>
      <c r="AX18" s="209">
        <f>AX16+AX9</f>
        <v>1802.9530201342282</v>
      </c>
      <c r="AY18" s="210">
        <f>AY16+AY9</f>
        <v>1656.1073825503354</v>
      </c>
      <c r="AZ18" s="209"/>
      <c r="BA18" s="209">
        <f>BA16+BA9</f>
        <v>1851.4093959731542</v>
      </c>
      <c r="BB18" s="210">
        <f>BB16+BB9</f>
        <v>1860.6711409395971</v>
      </c>
      <c r="BC18" s="209">
        <f>BC16+BC9</f>
        <v>1735.8389261744967</v>
      </c>
      <c r="BD18" s="210">
        <f>BD16+BD9</f>
        <v>1683.6</v>
      </c>
      <c r="BE18" s="209"/>
      <c r="BF18" s="209">
        <f>BF16+BF9</f>
        <v>1736.4</v>
      </c>
      <c r="BG18" s="210">
        <f>BG16+BG9</f>
        <v>1787.1999999999998</v>
      </c>
      <c r="BH18" s="209">
        <f>BH16+BH9</f>
        <v>1728.6</v>
      </c>
      <c r="BI18" s="210">
        <f>BI16+BI9</f>
        <v>1747.1</v>
      </c>
      <c r="BJ18" s="209"/>
      <c r="BK18" s="209">
        <f>BK16+BK9</f>
        <v>2682.4</v>
      </c>
      <c r="BL18" s="210">
        <f>BL16+BL9</f>
        <v>2809</v>
      </c>
      <c r="BM18" s="209">
        <f>BM16+BM9</f>
        <v>2785.5</v>
      </c>
      <c r="BN18" s="210">
        <f>BN16+BN9</f>
        <v>1904.6000000000001</v>
      </c>
      <c r="BO18" s="209"/>
      <c r="BP18" s="209">
        <f>BP16+BP9</f>
        <v>1923.3000000000002</v>
      </c>
      <c r="BQ18" s="210">
        <f>BQ16+BQ9</f>
        <v>1926.3999999999999</v>
      </c>
      <c r="BR18" s="209">
        <f>BR16+BR9</f>
        <v>1938</v>
      </c>
      <c r="BS18" s="210">
        <f>BS16+BS9</f>
        <v>1859.2000000000003</v>
      </c>
    </row>
    <row r="19" spans="1:71" x14ac:dyDescent="0.2">
      <c r="C19" s="203"/>
      <c r="D19" s="204"/>
      <c r="E19" s="203"/>
      <c r="F19" s="204"/>
      <c r="G19" s="205"/>
      <c r="H19" s="203"/>
      <c r="I19" s="204"/>
      <c r="J19" s="203"/>
      <c r="K19" s="204"/>
      <c r="L19" s="205"/>
      <c r="M19" s="203"/>
      <c r="N19" s="204"/>
      <c r="O19" s="203"/>
      <c r="P19" s="204"/>
      <c r="Q19" s="205"/>
      <c r="R19" s="203"/>
      <c r="S19" s="204"/>
      <c r="T19" s="203"/>
      <c r="U19" s="204"/>
      <c r="V19" s="205"/>
      <c r="W19" s="203"/>
      <c r="X19" s="204"/>
      <c r="Y19" s="203"/>
      <c r="Z19" s="204"/>
      <c r="AA19" s="203"/>
      <c r="AB19" s="203"/>
      <c r="AC19" s="204"/>
      <c r="AD19" s="203"/>
      <c r="AE19" s="204"/>
      <c r="AF19" s="203"/>
      <c r="AG19" s="203"/>
      <c r="AH19" s="204"/>
      <c r="AI19" s="203"/>
      <c r="AJ19" s="204"/>
      <c r="AK19" s="203"/>
      <c r="AL19" s="203"/>
      <c r="AM19" s="204"/>
      <c r="AN19" s="203"/>
      <c r="AO19" s="204"/>
      <c r="AP19" s="203"/>
      <c r="AQ19" s="203"/>
      <c r="AR19" s="204"/>
      <c r="AS19" s="203"/>
      <c r="AT19" s="204"/>
      <c r="AU19" s="203"/>
      <c r="AV19" s="203"/>
      <c r="AW19" s="204"/>
      <c r="AX19" s="203"/>
      <c r="AY19" s="204"/>
      <c r="AZ19" s="203"/>
      <c r="BA19" s="203"/>
      <c r="BB19" s="204"/>
      <c r="BC19" s="203"/>
      <c r="BD19" s="204"/>
      <c r="BE19" s="203"/>
      <c r="BF19" s="203"/>
      <c r="BG19" s="204"/>
      <c r="BH19" s="203"/>
      <c r="BI19" s="204"/>
      <c r="BJ19" s="203"/>
      <c r="BK19" s="203"/>
      <c r="BL19" s="204"/>
      <c r="BM19" s="203"/>
      <c r="BN19" s="204"/>
      <c r="BO19" s="203"/>
      <c r="BP19" s="203"/>
      <c r="BQ19" s="204"/>
      <c r="BR19" s="203"/>
      <c r="BS19" s="204"/>
    </row>
    <row r="20" spans="1:71" x14ac:dyDescent="0.2">
      <c r="A20" s="96" t="s">
        <v>19</v>
      </c>
      <c r="C20" s="203"/>
      <c r="D20" s="204"/>
      <c r="E20" s="203"/>
      <c r="F20" s="204"/>
      <c r="G20" s="205"/>
      <c r="H20" s="203"/>
      <c r="I20" s="204"/>
      <c r="J20" s="203"/>
      <c r="K20" s="204"/>
      <c r="L20" s="205"/>
      <c r="M20" s="203"/>
      <c r="N20" s="204"/>
      <c r="O20" s="203"/>
      <c r="P20" s="204"/>
      <c r="Q20" s="205"/>
      <c r="R20" s="203"/>
      <c r="S20" s="204"/>
      <c r="T20" s="203"/>
      <c r="U20" s="204"/>
      <c r="V20" s="205"/>
      <c r="W20" s="203"/>
      <c r="X20" s="204"/>
      <c r="Y20" s="203"/>
      <c r="Z20" s="204"/>
      <c r="AA20" s="203"/>
      <c r="AB20" s="203"/>
      <c r="AC20" s="204"/>
      <c r="AD20" s="203"/>
      <c r="AE20" s="204"/>
      <c r="AF20" s="203"/>
      <c r="AG20" s="203"/>
      <c r="AH20" s="204"/>
      <c r="AI20" s="203"/>
      <c r="AJ20" s="204"/>
      <c r="AK20" s="203"/>
      <c r="AL20" s="203"/>
      <c r="AM20" s="204"/>
      <c r="AN20" s="203"/>
      <c r="AO20" s="204"/>
      <c r="AP20" s="203"/>
      <c r="AQ20" s="203"/>
      <c r="AR20" s="204"/>
      <c r="AS20" s="203"/>
      <c r="AT20" s="204"/>
      <c r="AU20" s="203"/>
      <c r="AV20" s="203"/>
      <c r="AW20" s="204"/>
      <c r="AX20" s="203"/>
      <c r="AY20" s="204"/>
      <c r="AZ20" s="203"/>
      <c r="BA20" s="203"/>
      <c r="BB20" s="204"/>
      <c r="BC20" s="203"/>
      <c r="BD20" s="204"/>
      <c r="BE20" s="203"/>
      <c r="BF20" s="203"/>
      <c r="BG20" s="204"/>
      <c r="BH20" s="203"/>
      <c r="BI20" s="204"/>
      <c r="BJ20" s="203"/>
      <c r="BK20" s="203"/>
      <c r="BL20" s="204"/>
      <c r="BM20" s="203"/>
      <c r="BN20" s="204"/>
      <c r="BO20" s="203"/>
      <c r="BP20" s="203"/>
      <c r="BQ20" s="204"/>
      <c r="BR20" s="203"/>
      <c r="BS20" s="204"/>
    </row>
    <row r="21" spans="1:71" x14ac:dyDescent="0.2">
      <c r="A21" s="15" t="s">
        <v>25</v>
      </c>
      <c r="C21" s="203">
        <f>(2742)/7.45</f>
        <v>368.05369127516775</v>
      </c>
      <c r="D21" s="204">
        <v>362.81879194630869</v>
      </c>
      <c r="E21" s="203">
        <v>345.36912751677852</v>
      </c>
      <c r="F21" s="204">
        <v>358.65771812080538</v>
      </c>
      <c r="G21" s="205"/>
      <c r="H21" s="203">
        <v>363.89261744966444</v>
      </c>
      <c r="I21" s="204">
        <v>339.06040268456377</v>
      </c>
      <c r="J21" s="203">
        <v>357.44966442953017</v>
      </c>
      <c r="K21" s="204">
        <v>374.09395973154363</v>
      </c>
      <c r="L21" s="205"/>
      <c r="M21" s="203">
        <v>387.5167785234899</v>
      </c>
      <c r="N21" s="204">
        <v>382.14765100671138</v>
      </c>
      <c r="O21" s="203">
        <v>397.31543624161071</v>
      </c>
      <c r="P21" s="204">
        <v>435.70469798657717</v>
      </c>
      <c r="Q21" s="205"/>
      <c r="R21" s="203">
        <v>447.91946308724829</v>
      </c>
      <c r="S21" s="204">
        <v>450.33557046979865</v>
      </c>
      <c r="T21" s="203">
        <v>482.95302013422815</v>
      </c>
      <c r="U21" s="204">
        <v>460</v>
      </c>
      <c r="V21" s="205"/>
      <c r="W21" s="203">
        <v>463.22147651006708</v>
      </c>
      <c r="X21" s="204">
        <v>470.85906040268458</v>
      </c>
      <c r="Y21" s="203">
        <v>474.8993288590604</v>
      </c>
      <c r="Z21" s="204">
        <v>499.19463087248323</v>
      </c>
      <c r="AA21" s="203"/>
      <c r="AB21" s="203">
        <v>511.40939597315435</v>
      </c>
      <c r="AC21" s="204">
        <v>540.93959731543623</v>
      </c>
      <c r="AD21" s="203">
        <v>535.83892617449658</v>
      </c>
      <c r="AE21" s="204">
        <v>551.00671140939596</v>
      </c>
      <c r="AF21" s="203"/>
      <c r="AG21" s="203">
        <v>535.43624161073819</v>
      </c>
      <c r="AH21" s="204">
        <v>534.63087248322142</v>
      </c>
      <c r="AI21" s="203">
        <v>536.91275167785238</v>
      </c>
      <c r="AJ21" s="204">
        <v>544.96644295302008</v>
      </c>
      <c r="AK21" s="203"/>
      <c r="AL21" s="203">
        <v>552.48322147651004</v>
      </c>
      <c r="AM21" s="204">
        <v>745.234899328859</v>
      </c>
      <c r="AN21" s="203">
        <v>758.38926174496646</v>
      </c>
      <c r="AO21" s="204">
        <v>769.1275167785235</v>
      </c>
      <c r="AP21" s="203"/>
      <c r="AQ21" s="203">
        <v>747.78523489932888</v>
      </c>
      <c r="AR21" s="204">
        <v>752.08053691275165</v>
      </c>
      <c r="AS21" s="203">
        <v>753.15436241610735</v>
      </c>
      <c r="AT21" s="204">
        <v>760.67114093959731</v>
      </c>
      <c r="AU21" s="203"/>
      <c r="AV21" s="203">
        <v>751.67785234899327</v>
      </c>
      <c r="AW21" s="204">
        <v>763.08724832214762</v>
      </c>
      <c r="AX21" s="203">
        <v>793.69127516778519</v>
      </c>
      <c r="AY21" s="204">
        <v>801.20805369127515</v>
      </c>
      <c r="AZ21" s="203"/>
      <c r="BA21" s="203">
        <v>846.97986577181211</v>
      </c>
      <c r="BB21" s="204">
        <v>802.55033557046977</v>
      </c>
      <c r="BC21" s="203">
        <v>798.79194630872485</v>
      </c>
      <c r="BD21" s="204">
        <v>808.6</v>
      </c>
      <c r="BE21" s="203"/>
      <c r="BF21" s="203">
        <v>802.1</v>
      </c>
      <c r="BG21" s="204">
        <v>801.7</v>
      </c>
      <c r="BH21" s="203">
        <v>760.2</v>
      </c>
      <c r="BI21" s="204">
        <v>951.4</v>
      </c>
      <c r="BJ21" s="203"/>
      <c r="BK21" s="203">
        <v>971.5</v>
      </c>
      <c r="BL21" s="204">
        <v>982.2</v>
      </c>
      <c r="BM21" s="203">
        <v>993.3</v>
      </c>
      <c r="BN21" s="204">
        <v>816.3</v>
      </c>
      <c r="BO21" s="203"/>
      <c r="BP21" s="203">
        <v>774.9</v>
      </c>
      <c r="BQ21" s="204">
        <v>767.2</v>
      </c>
      <c r="BR21" s="203">
        <v>774.5</v>
      </c>
      <c r="BS21" s="204">
        <f>745.6-2.4</f>
        <v>743.2</v>
      </c>
    </row>
    <row r="22" spans="1:71" x14ac:dyDescent="0.2">
      <c r="A22" s="15" t="s">
        <v>186</v>
      </c>
      <c r="C22" s="203"/>
      <c r="D22" s="204"/>
      <c r="E22" s="203"/>
      <c r="F22" s="204"/>
      <c r="G22" s="205"/>
      <c r="H22" s="203"/>
      <c r="I22" s="204"/>
      <c r="J22" s="203"/>
      <c r="K22" s="204"/>
      <c r="L22" s="205"/>
      <c r="M22" s="203"/>
      <c r="N22" s="204"/>
      <c r="O22" s="203"/>
      <c r="P22" s="204"/>
      <c r="Q22" s="205"/>
      <c r="R22" s="203"/>
      <c r="S22" s="204"/>
      <c r="T22" s="203"/>
      <c r="U22" s="204"/>
      <c r="V22" s="205"/>
      <c r="W22" s="203"/>
      <c r="X22" s="204"/>
      <c r="Y22" s="203"/>
      <c r="Z22" s="204"/>
      <c r="AA22" s="203"/>
      <c r="AB22" s="203"/>
      <c r="AC22" s="204"/>
      <c r="AD22" s="203"/>
      <c r="AE22" s="204"/>
      <c r="AF22" s="203"/>
      <c r="AG22" s="203"/>
      <c r="AH22" s="204"/>
      <c r="AI22" s="203"/>
      <c r="AJ22" s="204"/>
      <c r="AK22" s="203"/>
      <c r="AL22" s="203"/>
      <c r="AM22" s="204"/>
      <c r="AN22" s="203"/>
      <c r="AO22" s="204"/>
      <c r="AP22" s="203"/>
      <c r="AQ22" s="203"/>
      <c r="AR22" s="204"/>
      <c r="AS22" s="203"/>
      <c r="AT22" s="204"/>
      <c r="AU22" s="203"/>
      <c r="AV22" s="203"/>
      <c r="AW22" s="204"/>
      <c r="AX22" s="203"/>
      <c r="AY22" s="204"/>
      <c r="AZ22" s="203"/>
      <c r="BA22" s="203"/>
      <c r="BB22" s="204"/>
      <c r="BC22" s="203"/>
      <c r="BD22" s="204"/>
      <c r="BE22" s="203"/>
      <c r="BF22" s="203"/>
      <c r="BG22" s="204"/>
      <c r="BH22" s="203"/>
      <c r="BI22" s="204"/>
      <c r="BJ22" s="203"/>
      <c r="BK22" s="203"/>
      <c r="BL22" s="204"/>
      <c r="BM22" s="203"/>
      <c r="BN22" s="204"/>
      <c r="BO22" s="203"/>
      <c r="BP22" s="203"/>
      <c r="BQ22" s="204"/>
      <c r="BR22" s="203">
        <v>150</v>
      </c>
      <c r="BS22" s="204">
        <v>152.4</v>
      </c>
    </row>
    <row r="23" spans="1:71" s="98" customFormat="1" x14ac:dyDescent="0.2">
      <c r="A23" s="98" t="s">
        <v>8</v>
      </c>
      <c r="B23" s="99"/>
      <c r="C23" s="206">
        <v>7.7852348993288585</v>
      </c>
      <c r="D23" s="207">
        <v>7.9194630872483218</v>
      </c>
      <c r="E23" s="206">
        <v>8.4563758389261743</v>
      </c>
      <c r="F23" s="207">
        <v>8.4563758389261743</v>
      </c>
      <c r="G23" s="208"/>
      <c r="H23" s="206">
        <v>8.5906040268456376</v>
      </c>
      <c r="I23" s="207">
        <v>9.5302013422818792</v>
      </c>
      <c r="J23" s="206">
        <v>1.8791946308724832</v>
      </c>
      <c r="K23" s="207">
        <v>2.5503355704697985</v>
      </c>
      <c r="L23" s="208"/>
      <c r="M23" s="206">
        <v>2.6845637583892619</v>
      </c>
      <c r="N23" s="207">
        <v>3.3557046979865772</v>
      </c>
      <c r="O23" s="206">
        <v>3.8926174496644292</v>
      </c>
      <c r="P23" s="207">
        <v>4.9664429530201337</v>
      </c>
      <c r="Q23" s="208"/>
      <c r="R23" s="206">
        <v>5.2348993288590604</v>
      </c>
      <c r="S23" s="207">
        <v>5.6375838926174495</v>
      </c>
      <c r="T23" s="206">
        <v>6.174496644295302</v>
      </c>
      <c r="U23" s="207">
        <v>5.1006711409395971</v>
      </c>
      <c r="V23" s="208"/>
      <c r="W23" s="206">
        <v>4.2953020134228188</v>
      </c>
      <c r="X23" s="207">
        <v>4.6174496644295298</v>
      </c>
      <c r="Y23" s="206">
        <v>5.5033557046979862</v>
      </c>
      <c r="Z23" s="207">
        <v>2.8187919463087248</v>
      </c>
      <c r="AA23" s="206"/>
      <c r="AB23" s="206">
        <v>2.9530201342281877</v>
      </c>
      <c r="AC23" s="207">
        <v>3.087248322147651</v>
      </c>
      <c r="AD23" s="206">
        <v>0.93959731543624159</v>
      </c>
      <c r="AE23" s="207">
        <v>0.93959731543624159</v>
      </c>
      <c r="AF23" s="206"/>
      <c r="AG23" s="206">
        <v>0.67114093959731547</v>
      </c>
      <c r="AH23" s="207">
        <v>0.80536912751677847</v>
      </c>
      <c r="AI23" s="206">
        <v>0.80536912751677847</v>
      </c>
      <c r="AJ23" s="207">
        <v>0.80536912751677847</v>
      </c>
      <c r="AK23" s="206"/>
      <c r="AL23" s="206">
        <v>0.80536912751677847</v>
      </c>
      <c r="AM23" s="207">
        <v>0.80536912751677847</v>
      </c>
      <c r="AN23" s="206">
        <v>0.93959731543624159</v>
      </c>
      <c r="AO23" s="207">
        <v>0.93959731543624159</v>
      </c>
      <c r="AP23" s="206"/>
      <c r="AQ23" s="206">
        <v>1.0738255033557047</v>
      </c>
      <c r="AR23" s="207">
        <v>0.93959731543624159</v>
      </c>
      <c r="AS23" s="206">
        <v>0.93959731543624159</v>
      </c>
      <c r="AT23" s="207">
        <v>0.93959731543624159</v>
      </c>
      <c r="AU23" s="206"/>
      <c r="AV23" s="206">
        <v>0.80536912751677847</v>
      </c>
      <c r="AW23" s="207">
        <v>0.80536912751677847</v>
      </c>
      <c r="AX23" s="206">
        <v>0.80536912751677847</v>
      </c>
      <c r="AY23" s="207">
        <v>0.80536912751677847</v>
      </c>
      <c r="AZ23" s="206"/>
      <c r="BA23" s="206">
        <v>0.93959731543624159</v>
      </c>
      <c r="BB23" s="207">
        <v>0.93959731543624159</v>
      </c>
      <c r="BC23" s="206">
        <v>0.93959731543624159</v>
      </c>
      <c r="BD23" s="207">
        <v>0.9</v>
      </c>
      <c r="BE23" s="206"/>
      <c r="BF23" s="206">
        <v>0.93959731543624159</v>
      </c>
      <c r="BG23" s="207">
        <v>0</v>
      </c>
      <c r="BH23" s="206">
        <v>0</v>
      </c>
      <c r="BI23" s="207">
        <v>0</v>
      </c>
      <c r="BJ23" s="206"/>
      <c r="BK23" s="206">
        <v>0</v>
      </c>
      <c r="BL23" s="207">
        <v>0</v>
      </c>
      <c r="BM23" s="206">
        <v>0</v>
      </c>
      <c r="BN23" s="207">
        <v>0</v>
      </c>
      <c r="BO23" s="206"/>
      <c r="BP23" s="206">
        <v>0</v>
      </c>
      <c r="BQ23" s="207">
        <v>0</v>
      </c>
      <c r="BR23" s="206">
        <v>0</v>
      </c>
      <c r="BS23" s="207">
        <v>0</v>
      </c>
    </row>
    <row r="24" spans="1:71" x14ac:dyDescent="0.2">
      <c r="A24" s="15" t="s">
        <v>99</v>
      </c>
      <c r="C24" s="203">
        <f>SUM(C21:C23)</f>
        <v>375.83892617449663</v>
      </c>
      <c r="D24" s="204">
        <f>SUM(D21:D23)</f>
        <v>370.73825503355704</v>
      </c>
      <c r="E24" s="203">
        <f>SUM(E21:E23)</f>
        <v>353.82550335570471</v>
      </c>
      <c r="F24" s="204">
        <f>SUM(F21:F23)</f>
        <v>367.11409395973158</v>
      </c>
      <c r="G24" s="205"/>
      <c r="H24" s="203">
        <f>SUM(H21:H23)</f>
        <v>372.4832214765101</v>
      </c>
      <c r="I24" s="204">
        <f>SUM(I21:I23)</f>
        <v>348.59060402684565</v>
      </c>
      <c r="J24" s="203">
        <f>SUM(J21:J23)</f>
        <v>359.32885906040264</v>
      </c>
      <c r="K24" s="204">
        <f>SUM(K21:K23)</f>
        <v>376.64429530201346</v>
      </c>
      <c r="L24" s="205"/>
      <c r="M24" s="203">
        <f>SUM(M21:M23)</f>
        <v>390.20134228187919</v>
      </c>
      <c r="N24" s="204">
        <f>SUM(N21:N23)</f>
        <v>385.50335570469798</v>
      </c>
      <c r="O24" s="203">
        <f>SUM(O21:O23)</f>
        <v>401.20805369127515</v>
      </c>
      <c r="P24" s="204">
        <f>SUM(P21:P23)</f>
        <v>440.67114093959731</v>
      </c>
      <c r="Q24" s="205"/>
      <c r="R24" s="203">
        <f>SUM(R21:R23)</f>
        <v>453.15436241610735</v>
      </c>
      <c r="S24" s="204">
        <f>SUM(S21:S23)</f>
        <v>455.9731543624161</v>
      </c>
      <c r="T24" s="203">
        <f>SUM(T21:T23)</f>
        <v>489.12751677852344</v>
      </c>
      <c r="U24" s="204">
        <f>SUM(U21:U23)</f>
        <v>465.1006711409396</v>
      </c>
      <c r="V24" s="205"/>
      <c r="W24" s="203">
        <f>SUM(W21:W23)</f>
        <v>467.5167785234899</v>
      </c>
      <c r="X24" s="204">
        <f>SUM(X21:X23)</f>
        <v>475.47651006711413</v>
      </c>
      <c r="Y24" s="203">
        <f>SUM(Y21:Y23)</f>
        <v>480.40268456375838</v>
      </c>
      <c r="Z24" s="204">
        <f>SUM(Z21:Z23)</f>
        <v>502.01342281879198</v>
      </c>
      <c r="AA24" s="203"/>
      <c r="AB24" s="203">
        <f>SUM(AB21:AB23)</f>
        <v>514.3624161073825</v>
      </c>
      <c r="AC24" s="204">
        <f>SUM(AC21:AC23)</f>
        <v>544.02684563758385</v>
      </c>
      <c r="AD24" s="203">
        <f>SUM(AD21:AD23)</f>
        <v>536.77852348993281</v>
      </c>
      <c r="AE24" s="204">
        <f>SUM(AE21:AE23)</f>
        <v>551.94630872483219</v>
      </c>
      <c r="AF24" s="203"/>
      <c r="AG24" s="203">
        <f>SUM(AG21:AG23)</f>
        <v>536.1073825503355</v>
      </c>
      <c r="AH24" s="204">
        <f>SUM(AH21:AH23)</f>
        <v>535.43624161073819</v>
      </c>
      <c r="AI24" s="203">
        <f>SUM(AI21:AI23)</f>
        <v>537.71812080536915</v>
      </c>
      <c r="AJ24" s="204">
        <f>SUM(AJ21:AJ23)</f>
        <v>545.77181208053685</v>
      </c>
      <c r="AK24" s="203"/>
      <c r="AL24" s="203">
        <f>SUM(AL21:AL23)</f>
        <v>553.28859060402681</v>
      </c>
      <c r="AM24" s="204">
        <f>SUM(AM21:AM23)</f>
        <v>746.04026845637577</v>
      </c>
      <c r="AN24" s="203">
        <f>SUM(AN21:AN23)</f>
        <v>759.32885906040269</v>
      </c>
      <c r="AO24" s="204">
        <f>SUM(AO21:AO23)</f>
        <v>770.06711409395973</v>
      </c>
      <c r="AP24" s="203"/>
      <c r="AQ24" s="203">
        <f>SUM(AQ21:AQ23)</f>
        <v>748.85906040268458</v>
      </c>
      <c r="AR24" s="204">
        <f>SUM(AR21:AR23)</f>
        <v>753.02013422818789</v>
      </c>
      <c r="AS24" s="203">
        <f>SUM(AS21:AS23)</f>
        <v>754.09395973154358</v>
      </c>
      <c r="AT24" s="204">
        <f>SUM(AT21:AT23)</f>
        <v>761.61073825503354</v>
      </c>
      <c r="AU24" s="203"/>
      <c r="AV24" s="203">
        <f>SUM(AV21:AV23)</f>
        <v>752.48322147651004</v>
      </c>
      <c r="AW24" s="204">
        <f>SUM(AW21:AW23)</f>
        <v>763.89261744966439</v>
      </c>
      <c r="AX24" s="203">
        <f>SUM(AX21:AX23)</f>
        <v>794.49664429530196</v>
      </c>
      <c r="AY24" s="204">
        <f>SUM(AY21:AY23)</f>
        <v>802.01342281879192</v>
      </c>
      <c r="AZ24" s="203"/>
      <c r="BA24" s="203">
        <f>SUM(BA21:BA23)</f>
        <v>847.91946308724835</v>
      </c>
      <c r="BB24" s="204">
        <f>SUM(BB21:BB23)</f>
        <v>803.489932885906</v>
      </c>
      <c r="BC24" s="203">
        <f>SUM(BC21:BC23)</f>
        <v>799.73154362416108</v>
      </c>
      <c r="BD24" s="204">
        <f>SUM(BD21:BD23)</f>
        <v>809.5</v>
      </c>
      <c r="BE24" s="203"/>
      <c r="BF24" s="203">
        <f>SUM(BF21:BF23)</f>
        <v>803.03959731543625</v>
      </c>
      <c r="BG24" s="204">
        <f>SUM(BG21:BG23)</f>
        <v>801.7</v>
      </c>
      <c r="BH24" s="203">
        <f>SUM(BH21:BH23)</f>
        <v>760.2</v>
      </c>
      <c r="BI24" s="204">
        <f>SUM(BI21:BI23)</f>
        <v>951.4</v>
      </c>
      <c r="BJ24" s="203"/>
      <c r="BK24" s="203">
        <f>SUM(BK21:BK23)</f>
        <v>971.5</v>
      </c>
      <c r="BL24" s="204">
        <f>SUM(BL21:BL23)</f>
        <v>982.2</v>
      </c>
      <c r="BM24" s="203">
        <f>SUM(BM21:BM23)</f>
        <v>993.3</v>
      </c>
      <c r="BN24" s="204">
        <f>SUM(BN21:BN23)</f>
        <v>816.3</v>
      </c>
      <c r="BO24" s="203"/>
      <c r="BP24" s="203">
        <f>SUM(BP21:BP23)</f>
        <v>774.9</v>
      </c>
      <c r="BQ24" s="204">
        <f>SUM(BQ21:BQ23)</f>
        <v>767.2</v>
      </c>
      <c r="BR24" s="203">
        <f>SUM(BR21:BR23)</f>
        <v>924.5</v>
      </c>
      <c r="BS24" s="204">
        <f>SUM(BS21:BS23)</f>
        <v>895.6</v>
      </c>
    </row>
    <row r="25" spans="1:71" x14ac:dyDescent="0.2">
      <c r="A25" s="15" t="s">
        <v>49</v>
      </c>
      <c r="C25" s="203">
        <f>(8+284+14)/7.45</f>
        <v>41.073825503355707</v>
      </c>
      <c r="D25" s="204">
        <f>(9+283+16)/7.45</f>
        <v>41.34228187919463</v>
      </c>
      <c r="E25" s="203">
        <v>41.208053691275168</v>
      </c>
      <c r="F25" s="204">
        <v>42.281879194630875</v>
      </c>
      <c r="G25" s="205"/>
      <c r="H25" s="219">
        <v>43.624161073825505</v>
      </c>
      <c r="I25" s="204">
        <v>44.161073825503358</v>
      </c>
      <c r="J25" s="203">
        <v>43.221476510067113</v>
      </c>
      <c r="K25" s="204">
        <v>42.550335570469798</v>
      </c>
      <c r="L25" s="205"/>
      <c r="M25" s="203">
        <v>46.442953020134226</v>
      </c>
      <c r="N25" s="204">
        <v>50.469798657718123</v>
      </c>
      <c r="O25" s="203">
        <v>62.147651006711406</v>
      </c>
      <c r="P25" s="204">
        <v>63.624161073825505</v>
      </c>
      <c r="Q25" s="205"/>
      <c r="R25" s="203">
        <v>68.322147651006716</v>
      </c>
      <c r="S25" s="204">
        <v>69.127516778523486</v>
      </c>
      <c r="T25" s="203">
        <f>(125+286+98)/7.45</f>
        <v>68.322147651006716</v>
      </c>
      <c r="U25" s="204">
        <f>(91+280+123)/7.45</f>
        <v>66.308724832214764</v>
      </c>
      <c r="V25" s="205"/>
      <c r="W25" s="203">
        <v>66.174496644295303</v>
      </c>
      <c r="X25" s="204">
        <f>(369.9+144.2)/7.45</f>
        <v>69.006711409395962</v>
      </c>
      <c r="Y25" s="203">
        <v>70.872483221476514</v>
      </c>
      <c r="Z25" s="204">
        <v>73.959731543624159</v>
      </c>
      <c r="AA25" s="203"/>
      <c r="AB25" s="203">
        <f>(147+286+42)/7.45</f>
        <v>63.758389261744966</v>
      </c>
      <c r="AC25" s="204">
        <v>73.557046979865774</v>
      </c>
      <c r="AD25" s="203">
        <v>76.912751677852341</v>
      </c>
      <c r="AE25" s="204">
        <v>78.255033557046971</v>
      </c>
      <c r="AF25" s="203"/>
      <c r="AG25" s="203">
        <v>74.09395973154362</v>
      </c>
      <c r="AH25" s="204">
        <v>68.053691275167779</v>
      </c>
      <c r="AI25" s="203">
        <v>63.221476510067113</v>
      </c>
      <c r="AJ25" s="204">
        <v>81.610738255033553</v>
      </c>
      <c r="AK25" s="203"/>
      <c r="AL25" s="203">
        <v>75.570469798657712</v>
      </c>
      <c r="AM25" s="204">
        <v>71.677852348993284</v>
      </c>
      <c r="AN25" s="203">
        <v>73.959731543624159</v>
      </c>
      <c r="AO25" s="204">
        <v>88.724832214765101</v>
      </c>
      <c r="AP25" s="203"/>
      <c r="AQ25" s="203">
        <v>91.140939597315437</v>
      </c>
      <c r="AR25" s="204">
        <v>90.335570469798654</v>
      </c>
      <c r="AS25" s="203">
        <f>(251+343+71)/7.45</f>
        <v>89.261744966442947</v>
      </c>
      <c r="AT25" s="204">
        <f>(345.8+342.3+69.5)/7.45</f>
        <v>101.69127516778524</v>
      </c>
      <c r="AU25" s="203"/>
      <c r="AV25" s="203">
        <v>93.422818791946312</v>
      </c>
      <c r="AW25" s="204">
        <v>100.93959731543625</v>
      </c>
      <c r="AX25" s="203">
        <f>(379+343+69)/7.45</f>
        <v>106.1744966442953</v>
      </c>
      <c r="AY25" s="204">
        <v>117.18120805369128</v>
      </c>
      <c r="AZ25" s="203"/>
      <c r="BA25" s="203">
        <v>108.85906040268456</v>
      </c>
      <c r="BB25" s="204">
        <v>117.71812080536913</v>
      </c>
      <c r="BC25" s="203">
        <v>119.32885906040268</v>
      </c>
      <c r="BD25" s="204">
        <v>117.5</v>
      </c>
      <c r="BE25" s="203"/>
      <c r="BF25" s="203">
        <v>113</v>
      </c>
      <c r="BG25" s="204">
        <v>112.9</v>
      </c>
      <c r="BH25" s="203">
        <f>42.5+54.6+20.8</f>
        <v>117.89999999999999</v>
      </c>
      <c r="BI25" s="204">
        <v>73.900000000000006</v>
      </c>
      <c r="BJ25" s="203"/>
      <c r="BK25" s="203">
        <v>124.9</v>
      </c>
      <c r="BL25" s="204">
        <f>51.2+53.2+22.6</f>
        <v>127</v>
      </c>
      <c r="BM25" s="203">
        <f>54.5+53.3+30.4</f>
        <v>138.19999999999999</v>
      </c>
      <c r="BN25" s="204">
        <f>28.5+59.9+52.5</f>
        <v>140.9</v>
      </c>
      <c r="BO25" s="203"/>
      <c r="BP25" s="203">
        <f>55.5+52.6+23.6</f>
        <v>131.69999999999999</v>
      </c>
      <c r="BQ25" s="204">
        <f>56.3+52.8+23</f>
        <v>132.1</v>
      </c>
      <c r="BR25" s="203">
        <f>57.3+52.8+20.1</f>
        <v>130.19999999999999</v>
      </c>
      <c r="BS25" s="204">
        <f>46.3+49.9+18.5</f>
        <v>114.69999999999999</v>
      </c>
    </row>
    <row r="26" spans="1:71" x14ac:dyDescent="0.2">
      <c r="A26" s="15" t="s">
        <v>81</v>
      </c>
      <c r="C26" s="203">
        <v>102.01342281879194</v>
      </c>
      <c r="D26" s="204">
        <v>97.583892617449663</v>
      </c>
      <c r="E26" s="203">
        <v>136.10738255033556</v>
      </c>
      <c r="F26" s="204">
        <v>131.6778523489933</v>
      </c>
      <c r="G26" s="205"/>
      <c r="H26" s="203">
        <v>131.6778523489933</v>
      </c>
      <c r="I26" s="204">
        <v>131.54362416107384</v>
      </c>
      <c r="J26" s="203">
        <v>131.54362416107384</v>
      </c>
      <c r="K26" s="204">
        <v>198.25503355704697</v>
      </c>
      <c r="L26" s="205"/>
      <c r="M26" s="203">
        <v>229.93288590604027</v>
      </c>
      <c r="N26" s="204">
        <v>231.00671140939596</v>
      </c>
      <c r="O26" s="203">
        <v>230.60402684563758</v>
      </c>
      <c r="P26" s="204">
        <v>180.26845637583892</v>
      </c>
      <c r="Q26" s="205"/>
      <c r="R26" s="203">
        <v>189.26174496644296</v>
      </c>
      <c r="S26" s="204">
        <v>196.24161073825502</v>
      </c>
      <c r="T26" s="203">
        <v>192.75167785234899</v>
      </c>
      <c r="U26" s="204">
        <v>176.51006711409394</v>
      </c>
      <c r="V26" s="205"/>
      <c r="W26" s="203">
        <v>165.1006711409396</v>
      </c>
      <c r="X26" s="204">
        <v>255.9731543624161</v>
      </c>
      <c r="Y26" s="203">
        <v>290.73825503355704</v>
      </c>
      <c r="Z26" s="204">
        <v>261.34228187919462</v>
      </c>
      <c r="AA26" s="203"/>
      <c r="AB26" s="203">
        <v>315.70469798657717</v>
      </c>
      <c r="AC26" s="204">
        <v>365.36912751677852</v>
      </c>
      <c r="AD26" s="203">
        <v>384.96644295302013</v>
      </c>
      <c r="AE26" s="204">
        <v>463.35570469798654</v>
      </c>
      <c r="AF26" s="203"/>
      <c r="AG26" s="203">
        <v>550.06711409395973</v>
      </c>
      <c r="AH26" s="204">
        <v>558.12080536912754</v>
      </c>
      <c r="AI26" s="203">
        <v>492.75167785234896</v>
      </c>
      <c r="AJ26" s="204">
        <v>477.58389261744964</v>
      </c>
      <c r="AK26" s="203"/>
      <c r="AL26" s="203">
        <v>520</v>
      </c>
      <c r="AM26" s="204">
        <v>254.36241610738256</v>
      </c>
      <c r="AN26" s="203">
        <v>270.06711409395973</v>
      </c>
      <c r="AO26" s="204">
        <v>73.020134228187914</v>
      </c>
      <c r="AP26" s="203"/>
      <c r="AQ26" s="203">
        <v>151.54362416107381</v>
      </c>
      <c r="AR26" s="204">
        <v>230.46979865771812</v>
      </c>
      <c r="AS26" s="203">
        <v>230.46979865771812</v>
      </c>
      <c r="AT26" s="204">
        <v>281.61073825503354</v>
      </c>
      <c r="AU26" s="203"/>
      <c r="AV26" s="203">
        <v>279.59731543624162</v>
      </c>
      <c r="AW26" s="204">
        <v>262.14765100671138</v>
      </c>
      <c r="AX26" s="203">
        <v>286.57718120805367</v>
      </c>
      <c r="AY26" s="204">
        <v>177.18120805369128</v>
      </c>
      <c r="AZ26" s="203"/>
      <c r="BA26" s="203">
        <v>210.06711409395973</v>
      </c>
      <c r="BB26" s="204">
        <v>251.67785234899327</v>
      </c>
      <c r="BC26" s="203">
        <v>202.28187919463087</v>
      </c>
      <c r="BD26" s="204">
        <v>143.9</v>
      </c>
      <c r="BE26" s="203"/>
      <c r="BF26" s="203">
        <v>197.9</v>
      </c>
      <c r="BG26" s="204">
        <v>212.5</v>
      </c>
      <c r="BH26" s="203">
        <v>185</v>
      </c>
      <c r="BI26" s="204">
        <v>83</v>
      </c>
      <c r="BJ26" s="203"/>
      <c r="BK26" s="203">
        <v>635.4</v>
      </c>
      <c r="BL26" s="204">
        <v>773.8</v>
      </c>
      <c r="BM26" s="203">
        <v>744.6</v>
      </c>
      <c r="BN26" s="204">
        <v>332.8</v>
      </c>
      <c r="BO26" s="203"/>
      <c r="BP26" s="203">
        <v>456.4</v>
      </c>
      <c r="BQ26" s="204">
        <v>414</v>
      </c>
      <c r="BR26" s="203">
        <v>312.60000000000002</v>
      </c>
      <c r="BS26" s="204">
        <v>268.39999999999998</v>
      </c>
    </row>
    <row r="27" spans="1:71" x14ac:dyDescent="0.2">
      <c r="A27" s="15" t="s">
        <v>82</v>
      </c>
      <c r="C27" s="203">
        <v>24.697986577181208</v>
      </c>
      <c r="D27" s="204">
        <v>36.107382550335572</v>
      </c>
      <c r="E27" s="203">
        <v>32.348993288590606</v>
      </c>
      <c r="F27" s="204">
        <v>29.261744966442951</v>
      </c>
      <c r="G27" s="205"/>
      <c r="H27" s="203">
        <v>63.624161073825505</v>
      </c>
      <c r="I27" s="204">
        <v>103.89261744966443</v>
      </c>
      <c r="J27" s="203">
        <v>76.77852348993288</v>
      </c>
      <c r="K27" s="204">
        <v>83.758389261744966</v>
      </c>
      <c r="L27" s="205"/>
      <c r="M27" s="203">
        <v>88.724832214765101</v>
      </c>
      <c r="N27" s="204">
        <v>119.32885906040268</v>
      </c>
      <c r="O27" s="203">
        <v>125.7718120805369</v>
      </c>
      <c r="P27" s="204">
        <v>161.74496644295303</v>
      </c>
      <c r="Q27" s="205"/>
      <c r="R27" s="203">
        <v>169.93288590604027</v>
      </c>
      <c r="S27" s="204">
        <v>233.69127516778522</v>
      </c>
      <c r="T27" s="203">
        <v>223.35570469798657</v>
      </c>
      <c r="U27" s="204">
        <v>189.93288590604027</v>
      </c>
      <c r="V27" s="205"/>
      <c r="W27" s="203">
        <v>166.84563758389262</v>
      </c>
      <c r="X27" s="204">
        <v>110.87248322147651</v>
      </c>
      <c r="Y27" s="203">
        <v>83.087248322147644</v>
      </c>
      <c r="Z27" s="204">
        <v>124.29530201342281</v>
      </c>
      <c r="AA27" s="203"/>
      <c r="AB27" s="203">
        <v>151.81208053691276</v>
      </c>
      <c r="AC27" s="204">
        <v>179.59731543624162</v>
      </c>
      <c r="AD27" s="203">
        <v>200.13422818791946</v>
      </c>
      <c r="AE27" s="204">
        <v>128.45637583892616</v>
      </c>
      <c r="AF27" s="203"/>
      <c r="AG27" s="203">
        <v>138.38926174496643</v>
      </c>
      <c r="AH27" s="204">
        <v>145.63758389261744</v>
      </c>
      <c r="AI27" s="203">
        <v>164.69798657718121</v>
      </c>
      <c r="AJ27" s="204">
        <v>161.47651006711408</v>
      </c>
      <c r="AK27" s="203"/>
      <c r="AL27" s="203">
        <v>135.30201342281879</v>
      </c>
      <c r="AM27" s="204">
        <v>145.63758389261744</v>
      </c>
      <c r="AN27" s="203">
        <v>145.1006711409396</v>
      </c>
      <c r="AO27" s="204">
        <v>244.69798657718121</v>
      </c>
      <c r="AP27" s="203"/>
      <c r="AQ27" s="203">
        <v>281.07382550335569</v>
      </c>
      <c r="AR27" s="204">
        <v>223.08724832214764</v>
      </c>
      <c r="AS27" s="203">
        <v>204.42953020134229</v>
      </c>
      <c r="AT27" s="204">
        <v>64.429530201342274</v>
      </c>
      <c r="AU27" s="203"/>
      <c r="AV27" s="203">
        <v>59.865771812080538</v>
      </c>
      <c r="AW27" s="204">
        <v>58.120805369127517</v>
      </c>
      <c r="AX27" s="203">
        <v>48.322147651006709</v>
      </c>
      <c r="AY27" s="204">
        <v>35.973154362416103</v>
      </c>
      <c r="AZ27" s="203"/>
      <c r="BA27" s="203">
        <v>19.19463087248322</v>
      </c>
      <c r="BB27" s="204">
        <v>15.436241610738255</v>
      </c>
      <c r="BC27" s="203">
        <v>13.020134228187919</v>
      </c>
      <c r="BD27" s="204">
        <v>11.6</v>
      </c>
      <c r="BE27" s="203"/>
      <c r="BF27" s="203">
        <v>15.2</v>
      </c>
      <c r="BG27" s="204">
        <v>16.3</v>
      </c>
      <c r="BH27" s="203">
        <v>15.7</v>
      </c>
      <c r="BI27" s="204">
        <v>10.5</v>
      </c>
      <c r="BJ27" s="203"/>
      <c r="BK27" s="203">
        <v>12.8</v>
      </c>
      <c r="BL27" s="204">
        <v>27.4</v>
      </c>
      <c r="BM27" s="203">
        <v>22.3</v>
      </c>
      <c r="BN27" s="204">
        <v>7.2</v>
      </c>
      <c r="BO27" s="203"/>
      <c r="BP27" s="203">
        <v>6.5</v>
      </c>
      <c r="BQ27" s="204">
        <v>7.3</v>
      </c>
      <c r="BR27" s="203">
        <v>4.9000000000000004</v>
      </c>
      <c r="BS27" s="204">
        <v>8.1999999999999993</v>
      </c>
    </row>
    <row r="28" spans="1:71" s="104" customFormat="1" x14ac:dyDescent="0.2">
      <c r="A28" s="104" t="s">
        <v>65</v>
      </c>
      <c r="B28" s="151"/>
      <c r="C28" s="213">
        <v>251.27516778523488</v>
      </c>
      <c r="D28" s="214">
        <v>263.75838926174498</v>
      </c>
      <c r="E28" s="213">
        <v>255.57046979865771</v>
      </c>
      <c r="F28" s="214">
        <v>258.79194630872485</v>
      </c>
      <c r="G28" s="215"/>
      <c r="H28" s="213">
        <v>255.30201342281879</v>
      </c>
      <c r="I28" s="214">
        <v>300.13422818791946</v>
      </c>
      <c r="J28" s="213">
        <v>313.95973154362417</v>
      </c>
      <c r="K28" s="214">
        <v>285.36912751677852</v>
      </c>
      <c r="L28" s="215"/>
      <c r="M28" s="213">
        <v>317.18120805369125</v>
      </c>
      <c r="N28" s="214">
        <v>366.44295302013421</v>
      </c>
      <c r="O28" s="213">
        <v>409.93288590604027</v>
      </c>
      <c r="P28" s="214">
        <f>(1126+1668)/7.45</f>
        <v>375.03355704697987</v>
      </c>
      <c r="Q28" s="215"/>
      <c r="R28" s="213">
        <v>415.30201342281879</v>
      </c>
      <c r="S28" s="214">
        <v>418.25503355704694</v>
      </c>
      <c r="T28" s="213">
        <v>410.20134228187919</v>
      </c>
      <c r="U28" s="214">
        <f>(2998+109+139)/7.45</f>
        <v>435.70469798657717</v>
      </c>
      <c r="V28" s="215"/>
      <c r="W28" s="213">
        <v>441.07382550335569</v>
      </c>
      <c r="X28" s="214">
        <f>(117.2+984.1+1998.2)/7.45</f>
        <v>416.04026845637583</v>
      </c>
      <c r="Y28" s="213">
        <v>429.66442953020135</v>
      </c>
      <c r="Z28" s="214">
        <v>397.31543624161071</v>
      </c>
      <c r="AA28" s="213"/>
      <c r="AB28" s="213">
        <v>452.48322147651004</v>
      </c>
      <c r="AC28" s="214">
        <v>466.17449664429529</v>
      </c>
      <c r="AD28" s="213">
        <v>459.32885906040269</v>
      </c>
      <c r="AE28" s="214">
        <v>463.35570469798654</v>
      </c>
      <c r="AF28" s="213"/>
      <c r="AG28" s="213">
        <v>534.89932885906035</v>
      </c>
      <c r="AH28" s="214">
        <v>508.85906040268458</v>
      </c>
      <c r="AI28" s="213">
        <v>568.05369127516781</v>
      </c>
      <c r="AJ28" s="214">
        <v>537.44966442953023</v>
      </c>
      <c r="AK28" s="213"/>
      <c r="AL28" s="213">
        <v>564.29530201342277</v>
      </c>
      <c r="AM28" s="214">
        <v>578.92617449664431</v>
      </c>
      <c r="AN28" s="213">
        <v>524.42953020134223</v>
      </c>
      <c r="AO28" s="214">
        <v>559.86577181208054</v>
      </c>
      <c r="AP28" s="213"/>
      <c r="AQ28" s="213">
        <v>561.07382550335569</v>
      </c>
      <c r="AR28" s="214">
        <v>494.36241610738256</v>
      </c>
      <c r="AS28" s="213">
        <v>538.38926174496646</v>
      </c>
      <c r="AT28" s="214">
        <v>534.89932885906035</v>
      </c>
      <c r="AU28" s="213"/>
      <c r="AV28" s="213">
        <v>578.12080536912754</v>
      </c>
      <c r="AW28" s="214">
        <v>566.71140939597319</v>
      </c>
      <c r="AX28" s="213">
        <v>567.3825503355705</v>
      </c>
      <c r="AY28" s="214">
        <v>523.75838926174492</v>
      </c>
      <c r="AZ28" s="213"/>
      <c r="BA28" s="213">
        <v>665.36912751677846</v>
      </c>
      <c r="BB28" s="214">
        <v>672.34899328859058</v>
      </c>
      <c r="BC28" s="213">
        <v>601.47651006711408</v>
      </c>
      <c r="BD28" s="214">
        <v>601.1</v>
      </c>
      <c r="BE28" s="213"/>
      <c r="BF28" s="213">
        <v>607.29999999999995</v>
      </c>
      <c r="BG28" s="214">
        <v>643.79999999999995</v>
      </c>
      <c r="BH28" s="213">
        <f>568</f>
        <v>568</v>
      </c>
      <c r="BI28" s="214">
        <v>296.60000000000002</v>
      </c>
      <c r="BJ28" s="213"/>
      <c r="BK28" s="213">
        <v>632</v>
      </c>
      <c r="BL28" s="214">
        <v>605.4</v>
      </c>
      <c r="BM28" s="213">
        <f>561.1+28</f>
        <v>589.1</v>
      </c>
      <c r="BN28" s="214">
        <f>582.2+11.7+13.5</f>
        <v>607.40000000000009</v>
      </c>
      <c r="BO28" s="213"/>
      <c r="BP28" s="213">
        <f>538.7+15.1</f>
        <v>553.80000000000007</v>
      </c>
      <c r="BQ28" s="214">
        <f>591.4+14.4</f>
        <v>605.79999999999995</v>
      </c>
      <c r="BR28" s="213">
        <f>551.7+14.1</f>
        <v>565.80000000000007</v>
      </c>
      <c r="BS28" s="214">
        <f>558.3+0.8+13.2</f>
        <v>572.29999999999995</v>
      </c>
    </row>
    <row r="29" spans="1:71" s="104" customFormat="1" x14ac:dyDescent="0.2">
      <c r="A29" s="104" t="s">
        <v>149</v>
      </c>
      <c r="B29" s="151"/>
      <c r="C29" s="213"/>
      <c r="D29" s="214"/>
      <c r="E29" s="213"/>
      <c r="F29" s="214"/>
      <c r="G29" s="215"/>
      <c r="H29" s="213"/>
      <c r="I29" s="214"/>
      <c r="J29" s="213"/>
      <c r="K29" s="214"/>
      <c r="L29" s="215"/>
      <c r="M29" s="213"/>
      <c r="N29" s="214"/>
      <c r="O29" s="213"/>
      <c r="P29" s="214"/>
      <c r="Q29" s="215"/>
      <c r="R29" s="213"/>
      <c r="S29" s="214"/>
      <c r="T29" s="213"/>
      <c r="U29" s="214"/>
      <c r="V29" s="215"/>
      <c r="W29" s="213"/>
      <c r="X29" s="214"/>
      <c r="Y29" s="213"/>
      <c r="Z29" s="214"/>
      <c r="AA29" s="213"/>
      <c r="AB29" s="213"/>
      <c r="AC29" s="214"/>
      <c r="AD29" s="213"/>
      <c r="AE29" s="214"/>
      <c r="AF29" s="213"/>
      <c r="AG29" s="213"/>
      <c r="AH29" s="214"/>
      <c r="AI29" s="213"/>
      <c r="AJ29" s="214"/>
      <c r="AK29" s="213"/>
      <c r="AL29" s="213"/>
      <c r="AM29" s="214"/>
      <c r="AN29" s="213"/>
      <c r="AO29" s="214"/>
      <c r="AP29" s="213"/>
      <c r="AQ29" s="213"/>
      <c r="AR29" s="214"/>
      <c r="AS29" s="213"/>
      <c r="AT29" s="214"/>
      <c r="AU29" s="213"/>
      <c r="AV29" s="213"/>
      <c r="AW29" s="214"/>
      <c r="AX29" s="213"/>
      <c r="AY29" s="214"/>
      <c r="AZ29" s="213"/>
      <c r="BA29" s="213"/>
      <c r="BB29" s="214"/>
      <c r="BC29" s="213"/>
      <c r="BD29" s="214"/>
      <c r="BE29" s="213"/>
      <c r="BF29" s="213"/>
      <c r="BG29" s="214"/>
      <c r="BH29" s="213">
        <v>81.8</v>
      </c>
      <c r="BI29" s="214">
        <f>307.1+24.6</f>
        <v>331.70000000000005</v>
      </c>
      <c r="BJ29" s="213"/>
      <c r="BK29" s="213">
        <v>305.8</v>
      </c>
      <c r="BL29" s="214">
        <v>293.10000000000002</v>
      </c>
      <c r="BM29" s="213">
        <v>298</v>
      </c>
      <c r="BN29" s="214">
        <v>0</v>
      </c>
      <c r="BO29" s="213"/>
      <c r="BP29" s="213"/>
      <c r="BQ29" s="214"/>
      <c r="BR29" s="213"/>
      <c r="BS29" s="214"/>
    </row>
    <row r="30" spans="1:71" s="100" customFormat="1" x14ac:dyDescent="0.2">
      <c r="A30" s="100" t="s">
        <v>66</v>
      </c>
      <c r="B30" s="101"/>
      <c r="C30" s="209">
        <f>SUM(C24:C28)</f>
        <v>794.89932885906035</v>
      </c>
      <c r="D30" s="210">
        <f>SUM(D24:D28)</f>
        <v>809.530201342282</v>
      </c>
      <c r="E30" s="209">
        <f>SUM(E24:E28)</f>
        <v>819.06040268456377</v>
      </c>
      <c r="F30" s="210">
        <f>SUM(F24:F28)</f>
        <v>829.1275167785235</v>
      </c>
      <c r="G30" s="211"/>
      <c r="H30" s="209">
        <f>SUM(H24:H28)</f>
        <v>866.71140939597308</v>
      </c>
      <c r="I30" s="210">
        <f>SUM(I24:I28)</f>
        <v>928.32214765100673</v>
      </c>
      <c r="J30" s="209">
        <f>SUM(J24:J28)</f>
        <v>924.83221476510062</v>
      </c>
      <c r="K30" s="210">
        <f>SUM(K24:K28)</f>
        <v>986.57718120805362</v>
      </c>
      <c r="L30" s="211"/>
      <c r="M30" s="209">
        <f>SUM(M24:M28)</f>
        <v>1072.4832214765099</v>
      </c>
      <c r="N30" s="210">
        <f>SUM(N24:N28)</f>
        <v>1152.7516778523488</v>
      </c>
      <c r="O30" s="209">
        <f>SUM(O24:O28)</f>
        <v>1229.6644295302012</v>
      </c>
      <c r="P30" s="210">
        <f>SUM(P24:P28)</f>
        <v>1221.3422818791946</v>
      </c>
      <c r="Q30" s="211"/>
      <c r="R30" s="209">
        <f>SUM(R24:R28)</f>
        <v>1295.9731543624162</v>
      </c>
      <c r="S30" s="210">
        <f>SUM(S24:S28)</f>
        <v>1373.2885906040267</v>
      </c>
      <c r="T30" s="209">
        <f>SUM(T24:T28)</f>
        <v>1383.7583892617449</v>
      </c>
      <c r="U30" s="210">
        <f>SUM(U24:U28)</f>
        <v>1333.5570469798656</v>
      </c>
      <c r="V30" s="211"/>
      <c r="W30" s="209">
        <f>SUM(W24:W28)</f>
        <v>1306.7114093959731</v>
      </c>
      <c r="X30" s="210">
        <f>SUM(X24:X28)</f>
        <v>1327.3691275167787</v>
      </c>
      <c r="Y30" s="209">
        <f>SUM(Y24:Y28)</f>
        <v>1354.7651006711408</v>
      </c>
      <c r="Z30" s="210">
        <f>SUM(Z24:Z28)</f>
        <v>1358.9261744966443</v>
      </c>
      <c r="AA30" s="209"/>
      <c r="AB30" s="209">
        <f>SUM(AB24:AB28)</f>
        <v>1498.1208053691275</v>
      </c>
      <c r="AC30" s="210">
        <f>SUM(AC24:AC28)</f>
        <v>1628.724832214765</v>
      </c>
      <c r="AD30" s="209">
        <f>SUM(AD24:AD28)</f>
        <v>1658.1208053691275</v>
      </c>
      <c r="AE30" s="210">
        <f>SUM(AE24:AE28)</f>
        <v>1685.3691275167785</v>
      </c>
      <c r="AF30" s="209"/>
      <c r="AG30" s="209">
        <f>SUM(AG24:AG28)</f>
        <v>1833.5570469798658</v>
      </c>
      <c r="AH30" s="210">
        <f>SUM(AH24:AH28)</f>
        <v>1816.1073825503354</v>
      </c>
      <c r="AI30" s="209">
        <f>SUM(AI24:AI28)</f>
        <v>1826.4429530201342</v>
      </c>
      <c r="AJ30" s="210">
        <f>SUM(AJ24:AJ28)</f>
        <v>1803.8926174496644</v>
      </c>
      <c r="AK30" s="209"/>
      <c r="AL30" s="209">
        <f>SUM(AL24:AL28)</f>
        <v>1848.4563758389261</v>
      </c>
      <c r="AM30" s="210">
        <f>SUM(AM24:AM28)</f>
        <v>1796.6442953020132</v>
      </c>
      <c r="AN30" s="209">
        <f>SUM(AN24:AN28)</f>
        <v>1772.8859060402683</v>
      </c>
      <c r="AO30" s="210">
        <f>SUM(AO24:AO28)</f>
        <v>1736.3758389261745</v>
      </c>
      <c r="AP30" s="209"/>
      <c r="AQ30" s="209">
        <f>SUM(AQ24:AQ28)</f>
        <v>1833.6912751677851</v>
      </c>
      <c r="AR30" s="210">
        <f>SUM(AR24:AR28)</f>
        <v>1791.275167785235</v>
      </c>
      <c r="AS30" s="209">
        <f>SUM(AS24:AS28)</f>
        <v>1816.6442953020135</v>
      </c>
      <c r="AT30" s="210">
        <f>SUM(AT24:AT28)</f>
        <v>1744.2416107382546</v>
      </c>
      <c r="AU30" s="209"/>
      <c r="AV30" s="209">
        <f>SUM(AV24:AV28)</f>
        <v>1763.489932885906</v>
      </c>
      <c r="AW30" s="210">
        <f>SUM(AW24:AW28)</f>
        <v>1751.8120805369126</v>
      </c>
      <c r="AX30" s="209">
        <f>SUM(AX24:AX28)</f>
        <v>1802.9530201342282</v>
      </c>
      <c r="AY30" s="210">
        <f>SUM(AY24:AY28)</f>
        <v>1656.1073825503356</v>
      </c>
      <c r="AZ30" s="209"/>
      <c r="BA30" s="209">
        <f>SUM(BA24:BA28)</f>
        <v>1851.4093959731545</v>
      </c>
      <c r="BB30" s="210">
        <f>SUM(BB24:BB28)</f>
        <v>1860.6711409395971</v>
      </c>
      <c r="BC30" s="209">
        <f>SUM(BC24:BC28)</f>
        <v>1735.8389261744967</v>
      </c>
      <c r="BD30" s="210">
        <f>SUM(BD24:BD28)</f>
        <v>1683.6</v>
      </c>
      <c r="BE30" s="209"/>
      <c r="BF30" s="209">
        <f>SUM(BF24:BF29)</f>
        <v>1736.4395973154362</v>
      </c>
      <c r="BG30" s="210">
        <f>SUM(BG24:BG29)</f>
        <v>1787.1999999999998</v>
      </c>
      <c r="BH30" s="209">
        <f>SUM(BH24:BH29)</f>
        <v>1728.6</v>
      </c>
      <c r="BI30" s="210">
        <f>SUM(BI24:BI29)</f>
        <v>1747.1000000000001</v>
      </c>
      <c r="BJ30" s="209"/>
      <c r="BK30" s="209">
        <f>SUM(BK24:BK29)</f>
        <v>2682.4000000000005</v>
      </c>
      <c r="BL30" s="210">
        <f>SUM(BL24:BL29)</f>
        <v>2808.9</v>
      </c>
      <c r="BM30" s="209">
        <f>SUM(BM24:BM29)</f>
        <v>2785.5</v>
      </c>
      <c r="BN30" s="210">
        <f>SUM(BN24:BN29)</f>
        <v>1904.6000000000001</v>
      </c>
      <c r="BO30" s="209"/>
      <c r="BP30" s="209">
        <f>SUM(BP24:BP29)</f>
        <v>1923.3000000000002</v>
      </c>
      <c r="BQ30" s="210">
        <f>SUM(BQ24:BQ29)</f>
        <v>1926.4</v>
      </c>
      <c r="BR30" s="209">
        <f>SUM(BR24:BR29)</f>
        <v>1938.0000000000005</v>
      </c>
      <c r="BS30" s="210">
        <f>SUM(BS24:BS29)</f>
        <v>1859.1999999999998</v>
      </c>
    </row>
    <row r="31" spans="1:71" x14ac:dyDescent="0.2">
      <c r="C31" s="213"/>
      <c r="D31" s="214"/>
      <c r="E31" s="213"/>
      <c r="F31" s="214"/>
      <c r="G31" s="205"/>
      <c r="H31" s="213"/>
      <c r="I31" s="214"/>
      <c r="J31" s="213"/>
      <c r="K31" s="214"/>
      <c r="L31" s="205"/>
      <c r="M31" s="213"/>
      <c r="N31" s="214"/>
      <c r="O31" s="213"/>
      <c r="P31" s="214"/>
      <c r="Q31" s="205"/>
      <c r="R31" s="213"/>
      <c r="S31" s="214"/>
      <c r="T31" s="213"/>
      <c r="U31" s="214"/>
      <c r="V31" s="205"/>
      <c r="W31" s="213"/>
      <c r="X31" s="214"/>
      <c r="Y31" s="213"/>
      <c r="Z31" s="214"/>
      <c r="AA31" s="203"/>
      <c r="AB31" s="213"/>
      <c r="AC31" s="214"/>
      <c r="AD31" s="213"/>
      <c r="AE31" s="214"/>
      <c r="AF31" s="203"/>
      <c r="AG31" s="213"/>
      <c r="AH31" s="214"/>
      <c r="AI31" s="213"/>
      <c r="AJ31" s="214"/>
      <c r="AK31" s="203"/>
      <c r="AL31" s="213"/>
      <c r="AM31" s="214"/>
      <c r="AN31" s="213"/>
      <c r="AO31" s="214"/>
      <c r="AP31" s="203"/>
      <c r="AQ31" s="213"/>
      <c r="AR31" s="214"/>
      <c r="AS31" s="213"/>
      <c r="AT31" s="214"/>
      <c r="AU31" s="203"/>
      <c r="AV31" s="213"/>
      <c r="AW31" s="214"/>
      <c r="AX31" s="213"/>
      <c r="AY31" s="214"/>
      <c r="AZ31" s="203"/>
      <c r="BA31" s="213"/>
      <c r="BB31" s="214"/>
      <c r="BC31" s="213"/>
      <c r="BD31" s="214"/>
      <c r="BE31" s="203"/>
      <c r="BF31" s="213"/>
      <c r="BG31" s="214"/>
      <c r="BH31" s="213"/>
      <c r="BI31" s="214"/>
      <c r="BJ31" s="203"/>
      <c r="BK31" s="213"/>
      <c r="BL31" s="214"/>
      <c r="BM31" s="213"/>
      <c r="BN31" s="214"/>
      <c r="BO31" s="203"/>
      <c r="BP31" s="213"/>
      <c r="BQ31" s="214"/>
      <c r="BR31" s="213"/>
      <c r="BS31" s="214"/>
    </row>
    <row r="32" spans="1:71" x14ac:dyDescent="0.2">
      <c r="A32" s="105"/>
      <c r="B32" s="95"/>
      <c r="C32" s="220"/>
      <c r="D32" s="221"/>
      <c r="E32" s="220"/>
      <c r="F32" s="221"/>
      <c r="G32" s="222"/>
      <c r="H32" s="220"/>
      <c r="I32" s="221"/>
      <c r="J32" s="220"/>
      <c r="K32" s="221"/>
      <c r="L32" s="222"/>
      <c r="M32" s="223"/>
      <c r="N32" s="224"/>
      <c r="O32" s="223"/>
      <c r="P32" s="224"/>
      <c r="Q32" s="222"/>
      <c r="R32" s="222"/>
      <c r="S32" s="225"/>
      <c r="T32" s="222"/>
      <c r="U32" s="225"/>
      <c r="V32" s="222"/>
      <c r="W32" s="223"/>
      <c r="X32" s="224"/>
      <c r="Y32" s="223"/>
      <c r="Z32" s="224"/>
      <c r="AA32" s="203"/>
      <c r="AB32" s="223"/>
      <c r="AC32" s="224"/>
      <c r="AD32" s="223"/>
      <c r="AE32" s="224"/>
      <c r="AF32" s="203"/>
      <c r="AG32" s="223"/>
      <c r="AH32" s="224"/>
      <c r="AI32" s="223"/>
      <c r="AJ32" s="224"/>
      <c r="AK32" s="203"/>
      <c r="AL32" s="223"/>
      <c r="AM32" s="224"/>
      <c r="AN32" s="223"/>
      <c r="AO32" s="224"/>
      <c r="AP32" s="203"/>
      <c r="AQ32" s="223"/>
      <c r="AR32" s="224"/>
      <c r="AS32" s="223"/>
      <c r="AT32" s="224"/>
      <c r="AU32" s="203"/>
      <c r="AV32" s="223"/>
      <c r="AW32" s="224"/>
      <c r="AX32" s="223"/>
      <c r="AY32" s="224"/>
      <c r="AZ32" s="203"/>
      <c r="BA32" s="223"/>
      <c r="BB32" s="224"/>
      <c r="BC32" s="223"/>
      <c r="BD32" s="224"/>
      <c r="BE32" s="203"/>
      <c r="BF32" s="223"/>
      <c r="BG32" s="224"/>
      <c r="BH32" s="223"/>
      <c r="BI32" s="224"/>
      <c r="BJ32" s="203"/>
      <c r="BK32" s="223"/>
      <c r="BL32" s="224"/>
      <c r="BM32" s="223"/>
      <c r="BN32" s="224"/>
      <c r="BO32" s="203"/>
      <c r="BP32" s="223"/>
      <c r="BQ32" s="224"/>
      <c r="BR32" s="223"/>
      <c r="BS32" s="224"/>
    </row>
    <row r="33" spans="1:71 16384:16384" s="108" customFormat="1" x14ac:dyDescent="0.2">
      <c r="A33" s="106" t="s">
        <v>67</v>
      </c>
      <c r="B33" s="107"/>
      <c r="C33" s="226"/>
      <c r="D33" s="227"/>
      <c r="E33" s="226"/>
      <c r="F33" s="227"/>
      <c r="G33" s="228"/>
      <c r="H33" s="226"/>
      <c r="I33" s="227"/>
      <c r="J33" s="226"/>
      <c r="K33" s="227"/>
      <c r="L33" s="228"/>
      <c r="M33" s="226"/>
      <c r="N33" s="227"/>
      <c r="O33" s="226"/>
      <c r="P33" s="227"/>
      <c r="Q33" s="228"/>
      <c r="R33" s="226"/>
      <c r="S33" s="227"/>
      <c r="T33" s="226"/>
      <c r="U33" s="227"/>
      <c r="V33" s="228"/>
      <c r="W33" s="226"/>
      <c r="X33" s="227"/>
      <c r="Y33" s="226"/>
      <c r="Z33" s="227"/>
      <c r="AA33" s="229"/>
      <c r="AB33" s="226"/>
      <c r="AC33" s="227"/>
      <c r="AD33" s="226"/>
      <c r="AE33" s="227"/>
      <c r="AF33" s="229"/>
      <c r="AG33" s="226"/>
      <c r="AH33" s="227"/>
      <c r="AI33" s="226"/>
      <c r="AJ33" s="227"/>
      <c r="AK33" s="229"/>
      <c r="AL33" s="226"/>
      <c r="AM33" s="227"/>
      <c r="AN33" s="226"/>
      <c r="AO33" s="227"/>
      <c r="AP33" s="229"/>
      <c r="AQ33" s="226"/>
      <c r="AR33" s="227"/>
      <c r="AS33" s="226"/>
      <c r="AT33" s="227"/>
      <c r="AU33" s="229"/>
      <c r="AV33" s="226"/>
      <c r="AW33" s="227"/>
      <c r="AX33" s="226"/>
      <c r="AY33" s="227"/>
      <c r="AZ33" s="229"/>
      <c r="BA33" s="226"/>
      <c r="BB33" s="227"/>
      <c r="BC33" s="226"/>
      <c r="BD33" s="227"/>
      <c r="BE33" s="229"/>
      <c r="BF33" s="226"/>
      <c r="BG33" s="227"/>
      <c r="BH33" s="226"/>
      <c r="BI33" s="227"/>
      <c r="BJ33" s="229"/>
      <c r="BK33" s="226"/>
      <c r="BL33" s="227"/>
      <c r="BM33" s="226"/>
      <c r="BN33" s="227"/>
      <c r="BO33" s="229"/>
      <c r="BP33" s="226"/>
      <c r="BQ33" s="227"/>
      <c r="BR33" s="226"/>
      <c r="BS33" s="227"/>
    </row>
    <row r="34" spans="1:71 16384:16384" x14ac:dyDescent="0.2">
      <c r="C34" s="203"/>
      <c r="D34" s="204"/>
      <c r="E34" s="203"/>
      <c r="F34" s="204"/>
      <c r="G34" s="205"/>
      <c r="H34" s="203"/>
      <c r="I34" s="204"/>
      <c r="J34" s="203"/>
      <c r="K34" s="204"/>
      <c r="L34" s="205"/>
      <c r="M34" s="203"/>
      <c r="N34" s="204"/>
      <c r="O34" s="203"/>
      <c r="P34" s="204"/>
      <c r="Q34" s="205"/>
      <c r="R34" s="203"/>
      <c r="S34" s="204"/>
      <c r="T34" s="203"/>
      <c r="U34" s="204"/>
      <c r="V34" s="205"/>
      <c r="W34" s="203"/>
      <c r="X34" s="204"/>
      <c r="Y34" s="203"/>
      <c r="Z34" s="204"/>
      <c r="AA34" s="203"/>
      <c r="AB34" s="203"/>
      <c r="AC34" s="204"/>
      <c r="AD34" s="203"/>
      <c r="AE34" s="204"/>
      <c r="AF34" s="203"/>
      <c r="AG34" s="203"/>
      <c r="AH34" s="204"/>
      <c r="AI34" s="203"/>
      <c r="AJ34" s="204"/>
      <c r="AK34" s="203"/>
      <c r="AL34" s="203"/>
      <c r="AM34" s="204"/>
      <c r="AN34" s="203"/>
      <c r="AO34" s="204"/>
      <c r="AP34" s="203"/>
      <c r="AQ34" s="203"/>
      <c r="AR34" s="204"/>
      <c r="AS34" s="203"/>
      <c r="AT34" s="204"/>
      <c r="AU34" s="203"/>
      <c r="AV34" s="203"/>
      <c r="AW34" s="204"/>
      <c r="AX34" s="203"/>
      <c r="AY34" s="204"/>
      <c r="AZ34" s="203"/>
      <c r="BA34" s="203"/>
      <c r="BB34" s="204"/>
      <c r="BC34" s="203"/>
      <c r="BD34" s="204"/>
      <c r="BE34" s="203"/>
      <c r="BF34" s="203"/>
      <c r="BG34" s="204"/>
      <c r="BH34" s="203"/>
      <c r="BI34" s="204"/>
      <c r="BJ34" s="203"/>
      <c r="BK34" s="203"/>
      <c r="BL34" s="204"/>
      <c r="BM34" s="203"/>
      <c r="BN34" s="204"/>
      <c r="BO34" s="203"/>
      <c r="BP34" s="203"/>
      <c r="BQ34" s="204"/>
      <c r="BR34" s="203"/>
      <c r="BS34" s="204"/>
    </row>
    <row r="35" spans="1:71 16384:16384" x14ac:dyDescent="0.2">
      <c r="A35" s="15" t="s">
        <v>46</v>
      </c>
      <c r="C35" s="203">
        <v>369.1275167785235</v>
      </c>
      <c r="D35" s="204">
        <f>+C46</f>
        <v>375.83892617449663</v>
      </c>
      <c r="E35" s="203">
        <f>+D46</f>
        <v>370.73825503355704</v>
      </c>
      <c r="F35" s="204">
        <f>+E46</f>
        <v>353.82550335570471</v>
      </c>
      <c r="G35" s="205"/>
      <c r="H35" s="203">
        <f>F46</f>
        <v>367.11409395973152</v>
      </c>
      <c r="I35" s="204">
        <f>H46</f>
        <v>372.48322147651004</v>
      </c>
      <c r="J35" s="203">
        <f>I46</f>
        <v>348.5906040268456</v>
      </c>
      <c r="K35" s="204">
        <f>J46</f>
        <v>359.32885906040264</v>
      </c>
      <c r="L35" s="205"/>
      <c r="M35" s="203">
        <f>K46</f>
        <v>376.6442953020134</v>
      </c>
      <c r="N35" s="204">
        <f>+M46</f>
        <v>390.20134228187914</v>
      </c>
      <c r="O35" s="203">
        <f>+N46</f>
        <v>385.50335570469792</v>
      </c>
      <c r="P35" s="204">
        <f>+O46</f>
        <v>401.2080536912751</v>
      </c>
      <c r="Q35" s="205"/>
      <c r="R35" s="203">
        <f>+P46</f>
        <v>440.67114093959725</v>
      </c>
      <c r="S35" s="204">
        <f>+R46</f>
        <v>453.15436241610735</v>
      </c>
      <c r="T35" s="203">
        <f>+S46</f>
        <v>455.97315436241604</v>
      </c>
      <c r="U35" s="204">
        <f>+T46</f>
        <v>489.12751677852344</v>
      </c>
      <c r="V35" s="205"/>
      <c r="W35" s="203">
        <f>+U46</f>
        <v>465.06040268456371</v>
      </c>
      <c r="X35" s="204">
        <f>+W46</f>
        <v>467.47651006711402</v>
      </c>
      <c r="Y35" s="203">
        <f>+X46</f>
        <v>475.39597315436237</v>
      </c>
      <c r="Z35" s="204">
        <f>+Y46</f>
        <v>480.3624161073825</v>
      </c>
      <c r="AA35" s="203"/>
      <c r="AB35" s="203">
        <f>+Z46</f>
        <v>501.97315436241604</v>
      </c>
      <c r="AC35" s="204">
        <f>+AB46</f>
        <v>514.32214765100662</v>
      </c>
      <c r="AD35" s="203">
        <f>+AC46</f>
        <v>543.98657718120796</v>
      </c>
      <c r="AE35" s="204">
        <f>+AD46</f>
        <v>536.73825503355692</v>
      </c>
      <c r="AF35" s="203"/>
      <c r="AG35" s="203">
        <f>+AE46</f>
        <v>551.9060402684562</v>
      </c>
      <c r="AH35" s="204">
        <f>+AG46</f>
        <v>536.0671140939595</v>
      </c>
      <c r="AI35" s="203">
        <f>+AH46</f>
        <v>535.3959731543622</v>
      </c>
      <c r="AJ35" s="204">
        <f>+AI46</f>
        <v>537.67785234899316</v>
      </c>
      <c r="AK35" s="203"/>
      <c r="AL35" s="203">
        <f>+AJ46</f>
        <v>545.73154362416096</v>
      </c>
      <c r="AM35" s="204">
        <f>+AL46</f>
        <v>553.24832214765081</v>
      </c>
      <c r="AN35" s="203">
        <f>+AM46</f>
        <v>745.99999999999977</v>
      </c>
      <c r="AO35" s="204">
        <f>+AN46</f>
        <v>759.28859060402669</v>
      </c>
      <c r="AP35" s="203"/>
      <c r="AQ35" s="230">
        <f>+AO46</f>
        <v>770.02684563758373</v>
      </c>
      <c r="AR35" s="204">
        <f>+AQ46</f>
        <v>748.81879194630847</v>
      </c>
      <c r="AS35" s="203">
        <f>+AR46</f>
        <v>752.97986577181177</v>
      </c>
      <c r="AT35" s="204">
        <f>+AS46</f>
        <v>754.05369127516747</v>
      </c>
      <c r="AU35" s="203"/>
      <c r="AV35" s="230">
        <f>+AT46</f>
        <v>761.57046979865731</v>
      </c>
      <c r="AW35" s="204">
        <f>+AV46</f>
        <v>752.44295302013381</v>
      </c>
      <c r="AX35" s="203">
        <f>+AW46</f>
        <v>763.85234899328816</v>
      </c>
      <c r="AY35" s="204">
        <f>+AX46</f>
        <v>794.45637583892574</v>
      </c>
      <c r="AZ35" s="203"/>
      <c r="BA35" s="230">
        <f>+AY46</f>
        <v>801.9731543624157</v>
      </c>
      <c r="BB35" s="204">
        <f>+BA46</f>
        <v>847.87919463087201</v>
      </c>
      <c r="BC35" s="203">
        <f>+BB46</f>
        <v>803.44966442952966</v>
      </c>
      <c r="BD35" s="204">
        <f>+BC46</f>
        <v>799.69127516778474</v>
      </c>
      <c r="BE35" s="203"/>
      <c r="BF35" s="230">
        <f>+BD46</f>
        <v>809.45127516778484</v>
      </c>
      <c r="BG35" s="204">
        <f>+BF46</f>
        <v>802.95227516778493</v>
      </c>
      <c r="BH35" s="203">
        <f>+BG46</f>
        <v>801.65227516778498</v>
      </c>
      <c r="BI35" s="204">
        <f>+BH46</f>
        <v>760.15227516778498</v>
      </c>
      <c r="BJ35" s="203"/>
      <c r="BK35" s="230">
        <f>+BI46</f>
        <v>951.35227516778491</v>
      </c>
      <c r="BL35" s="204">
        <f>+BK46</f>
        <v>971.45227516778493</v>
      </c>
      <c r="BM35" s="203">
        <f>+BL46</f>
        <v>982.15227516778498</v>
      </c>
      <c r="BN35" s="204">
        <f>+BM46</f>
        <v>993.252275167785</v>
      </c>
      <c r="BO35" s="203"/>
      <c r="BP35" s="230">
        <f>+BN46</f>
        <v>816.25227516778523</v>
      </c>
      <c r="BQ35" s="204">
        <f>+BP46</f>
        <v>774.85227516778525</v>
      </c>
      <c r="BR35" s="203">
        <f>+BQ46</f>
        <v>767.15227516778532</v>
      </c>
      <c r="BS35" s="204">
        <f>+BR46</f>
        <v>924.45227516778527</v>
      </c>
    </row>
    <row r="36" spans="1:71 16384:16384" s="98" customFormat="1" x14ac:dyDescent="0.2">
      <c r="A36" s="98" t="s">
        <v>26</v>
      </c>
      <c r="B36" s="99"/>
      <c r="C36" s="206"/>
      <c r="D36" s="207">
        <v>0</v>
      </c>
      <c r="E36" s="206">
        <v>0</v>
      </c>
      <c r="F36" s="207">
        <v>0</v>
      </c>
      <c r="G36" s="208"/>
      <c r="H36" s="206">
        <v>0</v>
      </c>
      <c r="I36" s="207">
        <v>0</v>
      </c>
      <c r="J36" s="206">
        <v>0</v>
      </c>
      <c r="K36" s="207">
        <v>0</v>
      </c>
      <c r="L36" s="208"/>
      <c r="M36" s="206">
        <v>0</v>
      </c>
      <c r="N36" s="207">
        <v>0</v>
      </c>
      <c r="O36" s="206">
        <v>0</v>
      </c>
      <c r="P36" s="207">
        <v>0</v>
      </c>
      <c r="Q36" s="208"/>
      <c r="R36" s="206">
        <v>0</v>
      </c>
      <c r="S36" s="207">
        <v>0</v>
      </c>
      <c r="T36" s="206">
        <v>0</v>
      </c>
      <c r="U36" s="207">
        <v>0</v>
      </c>
      <c r="V36" s="208"/>
      <c r="W36" s="206">
        <v>0</v>
      </c>
      <c r="X36" s="207">
        <v>0</v>
      </c>
      <c r="Y36" s="206">
        <v>0</v>
      </c>
      <c r="Z36" s="207">
        <v>0</v>
      </c>
      <c r="AA36" s="206"/>
      <c r="AB36" s="206">
        <v>0</v>
      </c>
      <c r="AC36" s="207">
        <v>0</v>
      </c>
      <c r="AD36" s="206">
        <v>0</v>
      </c>
      <c r="AE36" s="207">
        <v>0</v>
      </c>
      <c r="AF36" s="206"/>
      <c r="AG36" s="206">
        <v>0</v>
      </c>
      <c r="AH36" s="207">
        <v>0</v>
      </c>
      <c r="AI36" s="206">
        <v>0</v>
      </c>
      <c r="AJ36" s="207">
        <v>0</v>
      </c>
      <c r="AK36" s="206"/>
      <c r="AL36" s="206">
        <v>0</v>
      </c>
      <c r="AM36" s="207">
        <v>0</v>
      </c>
      <c r="AN36" s="206">
        <v>0</v>
      </c>
      <c r="AO36" s="207">
        <v>0</v>
      </c>
      <c r="AP36" s="206"/>
      <c r="AQ36" s="231">
        <v>0</v>
      </c>
      <c r="AR36" s="207">
        <v>0</v>
      </c>
      <c r="AS36" s="206">
        <v>0</v>
      </c>
      <c r="AT36" s="207">
        <v>0</v>
      </c>
      <c r="AU36" s="206"/>
      <c r="AV36" s="231">
        <v>0</v>
      </c>
      <c r="AW36" s="207">
        <v>0</v>
      </c>
      <c r="AX36" s="206">
        <v>0</v>
      </c>
      <c r="AY36" s="207">
        <v>0</v>
      </c>
      <c r="AZ36" s="206"/>
      <c r="BA36" s="231">
        <v>0</v>
      </c>
      <c r="BB36" s="207">
        <v>0</v>
      </c>
      <c r="BC36" s="206">
        <v>0</v>
      </c>
      <c r="BD36" s="207">
        <v>0</v>
      </c>
      <c r="BE36" s="206"/>
      <c r="BF36" s="231">
        <v>0</v>
      </c>
      <c r="BG36" s="207">
        <v>0</v>
      </c>
      <c r="BH36" s="206">
        <v>0</v>
      </c>
      <c r="BI36" s="207">
        <v>0</v>
      </c>
      <c r="BJ36" s="206"/>
      <c r="BK36" s="231">
        <v>0</v>
      </c>
      <c r="BL36" s="207">
        <v>0</v>
      </c>
      <c r="BM36" s="206">
        <v>0</v>
      </c>
      <c r="BN36" s="207">
        <v>0</v>
      </c>
      <c r="BO36" s="206"/>
      <c r="BP36" s="231">
        <v>0</v>
      </c>
      <c r="BQ36" s="207">
        <v>0</v>
      </c>
      <c r="BR36" s="206">
        <v>0</v>
      </c>
      <c r="BS36" s="207">
        <v>0</v>
      </c>
    </row>
    <row r="37" spans="1:71 16384:16384" x14ac:dyDescent="0.2">
      <c r="A37" s="15" t="s">
        <v>107</v>
      </c>
      <c r="C37" s="203">
        <f>SUM(C35:C36)</f>
        <v>369.1275167785235</v>
      </c>
      <c r="D37" s="204">
        <f>SUM(D35:D36)</f>
        <v>375.83892617449663</v>
      </c>
      <c r="E37" s="203">
        <f>SUM(E35:E36)</f>
        <v>370.73825503355704</v>
      </c>
      <c r="F37" s="204">
        <f>SUM(F35:F36)</f>
        <v>353.82550335570471</v>
      </c>
      <c r="G37" s="205"/>
      <c r="H37" s="203">
        <f>SUM(H35:H36)</f>
        <v>367.11409395973152</v>
      </c>
      <c r="I37" s="204">
        <f>SUM(I35:I36)</f>
        <v>372.48322147651004</v>
      </c>
      <c r="J37" s="203">
        <f>SUM(J35:J36)</f>
        <v>348.5906040268456</v>
      </c>
      <c r="K37" s="204">
        <f>SUM(K35:K36)</f>
        <v>359.32885906040264</v>
      </c>
      <c r="L37" s="205"/>
      <c r="M37" s="203">
        <f>SUM(M35:M36)</f>
        <v>376.6442953020134</v>
      </c>
      <c r="N37" s="204">
        <f>SUM(N35:N36)</f>
        <v>390.20134228187914</v>
      </c>
      <c r="O37" s="203">
        <f>SUM(O35:O36)</f>
        <v>385.50335570469792</v>
      </c>
      <c r="P37" s="204">
        <f>SUM(P35:P36)</f>
        <v>401.2080536912751</v>
      </c>
      <c r="Q37" s="205"/>
      <c r="R37" s="203">
        <f>SUM(R35:R36)</f>
        <v>440.67114093959725</v>
      </c>
      <c r="S37" s="204">
        <f>SUM(S35:S36)</f>
        <v>453.15436241610735</v>
      </c>
      <c r="T37" s="203">
        <f>SUM(T35:T36)</f>
        <v>455.97315436241604</v>
      </c>
      <c r="U37" s="204">
        <f>SUM(U35:U36)</f>
        <v>489.12751677852344</v>
      </c>
      <c r="V37" s="205"/>
      <c r="W37" s="203">
        <f>SUM(W35:W36)</f>
        <v>465.06040268456371</v>
      </c>
      <c r="X37" s="204">
        <f>SUM(X35:X36)</f>
        <v>467.47651006711402</v>
      </c>
      <c r="Y37" s="203">
        <f>SUM(Y35:Y36)</f>
        <v>475.39597315436237</v>
      </c>
      <c r="Z37" s="204">
        <f>SUM(Z35:Z36)</f>
        <v>480.3624161073825</v>
      </c>
      <c r="AA37" s="203"/>
      <c r="AB37" s="203">
        <f>SUM(AB35:AB36)</f>
        <v>501.97315436241604</v>
      </c>
      <c r="AC37" s="204">
        <f>SUM(AC35:AC36)</f>
        <v>514.32214765100662</v>
      </c>
      <c r="AD37" s="203">
        <f>SUM(AD35:AD36)</f>
        <v>543.98657718120796</v>
      </c>
      <c r="AE37" s="204">
        <f>SUM(AE35:AE36)</f>
        <v>536.73825503355692</v>
      </c>
      <c r="AF37" s="203"/>
      <c r="AG37" s="203">
        <f>SUM(AG35:AG36)</f>
        <v>551.9060402684562</v>
      </c>
      <c r="AH37" s="204">
        <f>SUM(AH35:AH36)</f>
        <v>536.0671140939595</v>
      </c>
      <c r="AI37" s="203">
        <f>SUM(AI35:AI36)</f>
        <v>535.3959731543622</v>
      </c>
      <c r="AJ37" s="204">
        <f>SUM(AJ35:AJ36)</f>
        <v>537.67785234899316</v>
      </c>
      <c r="AK37" s="203"/>
      <c r="AL37" s="203">
        <f>SUM(AL35:AL36)</f>
        <v>545.73154362416096</v>
      </c>
      <c r="AM37" s="204">
        <f>SUM(AM35:AM36)</f>
        <v>553.24832214765081</v>
      </c>
      <c r="AN37" s="203">
        <f>SUM(AN35:AN36)</f>
        <v>745.99999999999977</v>
      </c>
      <c r="AO37" s="204">
        <f>SUM(AO35:AO36)</f>
        <v>759.28859060402669</v>
      </c>
      <c r="AP37" s="203"/>
      <c r="AQ37" s="230">
        <f>SUM(AQ35:AQ36)</f>
        <v>770.02684563758373</v>
      </c>
      <c r="AR37" s="204">
        <f>SUM(AR35:AR36)</f>
        <v>748.81879194630847</v>
      </c>
      <c r="AS37" s="230">
        <f>SUM(AS35:AS36)</f>
        <v>752.97986577181177</v>
      </c>
      <c r="AT37" s="204">
        <f>SUM(AT35:AT36)</f>
        <v>754.05369127516747</v>
      </c>
      <c r="AU37" s="203"/>
      <c r="AV37" s="230">
        <f>SUM(AV35:AV36)</f>
        <v>761.57046979865731</v>
      </c>
      <c r="AW37" s="204">
        <f>SUM(AW35:AW36)</f>
        <v>752.44295302013381</v>
      </c>
      <c r="AX37" s="230">
        <f>SUM(AX35:AX36)</f>
        <v>763.85234899328816</v>
      </c>
      <c r="AY37" s="204">
        <f>SUM(AY35:AY36)</f>
        <v>794.45637583892574</v>
      </c>
      <c r="AZ37" s="203"/>
      <c r="BA37" s="230">
        <f>SUM(BA35:BA36)</f>
        <v>801.9731543624157</v>
      </c>
      <c r="BB37" s="204">
        <f>+BB36+BB35</f>
        <v>847.87919463087201</v>
      </c>
      <c r="BC37" s="230">
        <f>SUM(BC35:BC36)</f>
        <v>803.44966442952966</v>
      </c>
      <c r="BD37" s="204">
        <f>SUM(BD35:BD36)</f>
        <v>799.69127516778474</v>
      </c>
      <c r="BE37" s="203"/>
      <c r="BF37" s="230">
        <f>SUM(BF35:BF36)</f>
        <v>809.45127516778484</v>
      </c>
      <c r="BG37" s="204">
        <f>SUM(BG35:BG36)</f>
        <v>802.95227516778493</v>
      </c>
      <c r="BH37" s="230">
        <f>SUM(BH35:BH36)</f>
        <v>801.65227516778498</v>
      </c>
      <c r="BI37" s="204">
        <f>SUM(BI35:BI36)</f>
        <v>760.15227516778498</v>
      </c>
      <c r="BJ37" s="203"/>
      <c r="BK37" s="230">
        <f>SUM(BK35:BK36)</f>
        <v>951.35227516778491</v>
      </c>
      <c r="BL37" s="204">
        <f>SUM(BL35:BL36)</f>
        <v>971.45227516778493</v>
      </c>
      <c r="BM37" s="230">
        <f>SUM(BM35:BM36)</f>
        <v>982.15227516778498</v>
      </c>
      <c r="BN37" s="204">
        <f>SUM(BN35:BN36)</f>
        <v>993.252275167785</v>
      </c>
      <c r="BO37" s="203"/>
      <c r="BP37" s="230">
        <f>SUM(BP35:BP36)</f>
        <v>816.25227516778523</v>
      </c>
      <c r="BQ37" s="204">
        <f>SUM(BQ35:BQ36)</f>
        <v>774.85227516778525</v>
      </c>
      <c r="BR37" s="230">
        <f>SUM(BR35:BR36)</f>
        <v>767.15227516778532</v>
      </c>
      <c r="BS37" s="204">
        <f>SUM(BS35:BS36)</f>
        <v>924.45227516778527</v>
      </c>
    </row>
    <row r="38" spans="1:71 16384:16384" x14ac:dyDescent="0.2">
      <c r="A38" s="15" t="s">
        <v>68</v>
      </c>
      <c r="C38" s="203">
        <v>7.1140939597315436</v>
      </c>
      <c r="D38" s="204">
        <v>14.093959731543624</v>
      </c>
      <c r="E38" s="203">
        <v>15.70469798657718</v>
      </c>
      <c r="F38" s="204">
        <v>11.543624161073826</v>
      </c>
      <c r="G38" s="205"/>
      <c r="H38" s="203">
        <v>11.409395973154362</v>
      </c>
      <c r="I38" s="204">
        <v>30.604026845637584</v>
      </c>
      <c r="J38" s="203">
        <v>19.597315436241612</v>
      </c>
      <c r="K38" s="204">
        <v>19.328859060402685</v>
      </c>
      <c r="L38" s="205"/>
      <c r="M38" s="203">
        <v>16.107382550335569</v>
      </c>
      <c r="N38" s="204">
        <v>30.067114093959731</v>
      </c>
      <c r="O38" s="203">
        <v>22.416107382550337</v>
      </c>
      <c r="P38" s="204">
        <v>41.476510067114091</v>
      </c>
      <c r="Q38" s="205"/>
      <c r="R38" s="203">
        <v>18.523489932885905</v>
      </c>
      <c r="S38" s="204">
        <v>31.140939597315434</v>
      </c>
      <c r="T38" s="203">
        <v>18.65771812080537</v>
      </c>
      <c r="U38" s="204">
        <v>-14.093959731543624</v>
      </c>
      <c r="V38" s="205"/>
      <c r="W38" s="203">
        <v>0</v>
      </c>
      <c r="X38" s="204">
        <v>12.617449664429531</v>
      </c>
      <c r="Y38" s="203">
        <v>9.5302013422818792</v>
      </c>
      <c r="Z38" s="204">
        <v>9.7986577181208059</v>
      </c>
      <c r="AA38" s="203"/>
      <c r="AB38" s="203">
        <v>8.724832214765101</v>
      </c>
      <c r="AC38" s="204">
        <v>13.020134228187919</v>
      </c>
      <c r="AD38" s="203">
        <v>10.738255033557047</v>
      </c>
      <c r="AE38" s="204">
        <v>3.7583892617449663</v>
      </c>
      <c r="AF38" s="203"/>
      <c r="AG38" s="203">
        <f>(+' Financial Highlights'!AM19)</f>
        <v>6.8456375838926187</v>
      </c>
      <c r="AH38" s="204">
        <f>(+' Financial Highlights'!AN19)</f>
        <v>4.0268456375838939</v>
      </c>
      <c r="AI38" s="203">
        <f>(+' Financial Highlights'!AO19)</f>
        <v>5.7718120805369111</v>
      </c>
      <c r="AJ38" s="204">
        <f>(+' Financial Highlights'!AP19)</f>
        <v>0.40268456375839023</v>
      </c>
      <c r="AK38" s="203"/>
      <c r="AL38" s="203">
        <v>4.1610738255033555</v>
      </c>
      <c r="AM38" s="204">
        <f>+' Financial Highlights'!AT19</f>
        <v>193.15436241610735</v>
      </c>
      <c r="AN38" s="203">
        <f>+' Financial Highlights'!AU19</f>
        <v>4.9664429530201355</v>
      </c>
      <c r="AO38" s="204">
        <f>+' Financial Highlights'!AV19</f>
        <v>13.288590604026844</v>
      </c>
      <c r="AP38" s="203"/>
      <c r="AQ38" s="230">
        <v>3.3557046979865772</v>
      </c>
      <c r="AR38" s="204">
        <v>10.201342281879194</v>
      </c>
      <c r="AS38" s="203">
        <v>7.1140939597315436</v>
      </c>
      <c r="AT38" s="204">
        <v>13.288590604026846</v>
      </c>
      <c r="AU38" s="203"/>
      <c r="AV38" s="230">
        <f>+' Financial Highlights'!BE19</f>
        <v>11.677852348993287</v>
      </c>
      <c r="AW38" s="204">
        <f>+' Financial Highlights'!BF19</f>
        <v>6.308724832214768</v>
      </c>
      <c r="AX38" s="230">
        <f>+' Financial Highlights'!BG19</f>
        <v>8.0536912751677843</v>
      </c>
      <c r="AY38" s="204">
        <f>+' Financial Highlights'!BH19</f>
        <v>11.543624161073826</v>
      </c>
      <c r="AZ38" s="203"/>
      <c r="BA38" s="230">
        <f>+' Financial Highlights'!BK19</f>
        <v>12.214765100671148</v>
      </c>
      <c r="BB38" s="204">
        <f>+' Financial Highlights'!BL19</f>
        <v>-27.651006711409394</v>
      </c>
      <c r="BC38" s="230">
        <f>+' Financial Highlights'!BM19</f>
        <v>9.664429530201339</v>
      </c>
      <c r="BD38" s="204">
        <f>+' Financial Highlights'!BN19</f>
        <v>6.9599999999999955</v>
      </c>
      <c r="BE38" s="203"/>
      <c r="BF38" s="230">
        <f>+' Financial Highlights'!BQ19</f>
        <v>10.600999999999997</v>
      </c>
      <c r="BG38" s="204">
        <f>+' Financial Highlights'!BR19</f>
        <v>20.2</v>
      </c>
      <c r="BH38" s="230">
        <f>+' Financial Highlights'!BS19</f>
        <v>-24.799999999999997</v>
      </c>
      <c r="BI38" s="204">
        <f>+' Financial Highlights'!BT19</f>
        <v>6.0999999999999961</v>
      </c>
      <c r="BJ38" s="230"/>
      <c r="BK38" s="230">
        <f>+' Financial Highlights'!BW19</f>
        <v>12.600000000000001</v>
      </c>
      <c r="BL38" s="204">
        <f>+' Financial Highlights'!BX19</f>
        <v>32.5</v>
      </c>
      <c r="BM38" s="230">
        <f>+' Financial Highlights'!BY19</f>
        <v>17.600000000000005</v>
      </c>
      <c r="BN38" s="204">
        <f>+' Financial Highlights'!BZ19</f>
        <v>866.1</v>
      </c>
      <c r="BO38" s="203"/>
      <c r="BP38" s="230">
        <f>+' Financial Highlights'!CC19</f>
        <v>-4.9999999999999973</v>
      </c>
      <c r="BQ38" s="204">
        <v>1.7</v>
      </c>
      <c r="BR38" s="230">
        <v>-2.8</v>
      </c>
      <c r="BS38" s="204">
        <v>-40.200000000000003</v>
      </c>
    </row>
    <row r="39" spans="1:71 16384:16384" x14ac:dyDescent="0.2">
      <c r="A39" s="15" t="s">
        <v>85</v>
      </c>
      <c r="C39" s="203">
        <v>0</v>
      </c>
      <c r="D39" s="204">
        <v>0</v>
      </c>
      <c r="E39" s="203">
        <v>0</v>
      </c>
      <c r="F39" s="204">
        <v>0</v>
      </c>
      <c r="G39" s="205"/>
      <c r="H39" s="203"/>
      <c r="I39" s="204"/>
      <c r="J39" s="203"/>
      <c r="K39" s="204"/>
      <c r="L39" s="205"/>
      <c r="M39" s="203"/>
      <c r="N39" s="204"/>
      <c r="O39" s="203"/>
      <c r="P39" s="204"/>
      <c r="Q39" s="205"/>
      <c r="R39" s="203"/>
      <c r="S39" s="204"/>
      <c r="T39" s="203"/>
      <c r="U39" s="204"/>
      <c r="V39" s="205"/>
      <c r="W39" s="203"/>
      <c r="X39" s="204"/>
      <c r="Y39" s="203"/>
      <c r="Z39" s="204"/>
      <c r="AA39" s="203"/>
      <c r="AB39" s="203"/>
      <c r="AC39" s="204"/>
      <c r="AD39" s="203"/>
      <c r="AE39" s="204"/>
      <c r="AF39" s="203"/>
      <c r="AG39" s="203"/>
      <c r="AH39" s="204"/>
      <c r="AI39" s="203"/>
      <c r="AJ39" s="204"/>
      <c r="AK39" s="203"/>
      <c r="AL39" s="203"/>
      <c r="AM39" s="204"/>
      <c r="AN39" s="203"/>
      <c r="AO39" s="204"/>
      <c r="AP39" s="203"/>
      <c r="AQ39" s="230">
        <v>-3.7583892617449663</v>
      </c>
      <c r="AR39" s="204">
        <v>0</v>
      </c>
      <c r="AS39" s="203">
        <v>0</v>
      </c>
      <c r="AT39" s="204">
        <v>-0.26845637583892618</v>
      </c>
      <c r="AU39" s="203"/>
      <c r="AV39" s="230">
        <v>0</v>
      </c>
      <c r="AW39" s="204">
        <v>0</v>
      </c>
      <c r="AX39" s="203">
        <v>0</v>
      </c>
      <c r="AY39" s="204">
        <v>-9.1275167785234892</v>
      </c>
      <c r="AZ39" s="203"/>
      <c r="BA39" s="230">
        <v>0</v>
      </c>
      <c r="BB39" s="204">
        <v>0</v>
      </c>
      <c r="BC39" s="203">
        <v>0</v>
      </c>
      <c r="BD39" s="204">
        <v>1.7</v>
      </c>
      <c r="BE39" s="203"/>
      <c r="BF39" s="230">
        <v>0</v>
      </c>
      <c r="BG39" s="204">
        <v>0</v>
      </c>
      <c r="BH39" s="203">
        <v>0</v>
      </c>
      <c r="BI39" s="204">
        <v>-4.5999999999999996</v>
      </c>
      <c r="BJ39" s="230"/>
      <c r="BK39" s="230">
        <v>0</v>
      </c>
      <c r="BL39" s="204">
        <v>0</v>
      </c>
      <c r="BM39" s="232">
        <v>0</v>
      </c>
      <c r="BN39" s="204">
        <v>0.2</v>
      </c>
      <c r="BO39" s="203"/>
      <c r="BP39" s="230">
        <v>0</v>
      </c>
      <c r="BQ39" s="204">
        <v>0</v>
      </c>
      <c r="BR39" s="232"/>
      <c r="BS39" s="204">
        <v>1.8</v>
      </c>
    </row>
    <row r="40" spans="1:71 16384:16384" x14ac:dyDescent="0.2">
      <c r="A40" s="15" t="s">
        <v>69</v>
      </c>
      <c r="C40" s="203">
        <v>1.2080536912751678</v>
      </c>
      <c r="D40" s="204">
        <v>7.1140939597315436</v>
      </c>
      <c r="E40" s="203">
        <v>4.4295302013422821</v>
      </c>
      <c r="F40" s="204">
        <v>1.7449664429530201</v>
      </c>
      <c r="G40" s="205"/>
      <c r="H40" s="203">
        <v>2.5503355704697985</v>
      </c>
      <c r="I40" s="204">
        <v>-16.778523489932887</v>
      </c>
      <c r="J40" s="203">
        <v>-8.8590604026845643</v>
      </c>
      <c r="K40" s="204">
        <v>-2.0134228187919461</v>
      </c>
      <c r="L40" s="205"/>
      <c r="M40" s="203">
        <v>-3.4899328859060401</v>
      </c>
      <c r="N40" s="204">
        <v>-4.4295302013422821</v>
      </c>
      <c r="O40" s="203">
        <v>-6.7114093959731544</v>
      </c>
      <c r="P40" s="204">
        <v>-2.0134228187919461</v>
      </c>
      <c r="Q40" s="205"/>
      <c r="R40" s="203">
        <v>-6.5771812080536911</v>
      </c>
      <c r="S40" s="204">
        <v>4.9664429530201337</v>
      </c>
      <c r="T40" s="203">
        <v>14.36241610738255</v>
      </c>
      <c r="U40" s="204">
        <v>-10.10738255033557</v>
      </c>
      <c r="V40" s="205"/>
      <c r="W40" s="230">
        <v>2.2818791946308723</v>
      </c>
      <c r="X40" s="204">
        <v>-4.9664429530201337</v>
      </c>
      <c r="Y40" s="232">
        <v>-4.6979865771812079</v>
      </c>
      <c r="Z40" s="204">
        <v>11.677852348993289</v>
      </c>
      <c r="AA40" s="203"/>
      <c r="AB40" s="230">
        <f>(-3+111)/7.45</f>
        <v>14.496644295302014</v>
      </c>
      <c r="AC40" s="204">
        <v>15.973154362416107</v>
      </c>
      <c r="AD40" s="232">
        <v>-18.120805369127517</v>
      </c>
      <c r="AE40" s="204">
        <v>11.275167785234899</v>
      </c>
      <c r="AF40" s="203"/>
      <c r="AG40" s="230">
        <v>-16.51006711409396</v>
      </c>
      <c r="AH40" s="204">
        <v>-4.9664429530201337</v>
      </c>
      <c r="AI40" s="232">
        <v>-3.6241610738255035</v>
      </c>
      <c r="AJ40" s="204">
        <v>7.651006711409396</v>
      </c>
      <c r="AK40" s="203"/>
      <c r="AL40" s="230">
        <v>6.7114093959731544</v>
      </c>
      <c r="AM40" s="204">
        <v>-0.53691275167785235</v>
      </c>
      <c r="AN40" s="232">
        <v>8.0536912751677843</v>
      </c>
      <c r="AO40" s="204">
        <v>-2.6845637583892619</v>
      </c>
      <c r="AP40" s="203"/>
      <c r="AQ40" s="230">
        <v>3.7583892617449663</v>
      </c>
      <c r="AR40" s="204">
        <v>-6.174496644295302</v>
      </c>
      <c r="AS40" s="232">
        <v>-6.174496644295302</v>
      </c>
      <c r="AT40" s="204">
        <v>-6.0402684563758386</v>
      </c>
      <c r="AU40" s="203"/>
      <c r="AV40" s="230">
        <v>-9.6644295302013425</v>
      </c>
      <c r="AW40" s="204">
        <v>4.9664429530201337</v>
      </c>
      <c r="AX40" s="232">
        <v>22.550335570469798</v>
      </c>
      <c r="AY40" s="204">
        <v>5.1006711409395971</v>
      </c>
      <c r="AZ40" s="203"/>
      <c r="BA40" s="230">
        <v>35.302013422818789</v>
      </c>
      <c r="BB40" s="204">
        <f>(137-263)/7.45</f>
        <v>-16.912751677852349</v>
      </c>
      <c r="BC40" s="232">
        <v>-13.557046979865772</v>
      </c>
      <c r="BD40" s="204">
        <v>1.1000000000000001</v>
      </c>
      <c r="BE40" s="203"/>
      <c r="BF40" s="230">
        <v>-5.8</v>
      </c>
      <c r="BG40" s="204">
        <v>1.6</v>
      </c>
      <c r="BH40" s="232">
        <v>-0.2</v>
      </c>
      <c r="BI40" s="204">
        <v>1.3</v>
      </c>
      <c r="BJ40" s="230"/>
      <c r="BK40" s="230">
        <v>-0.3</v>
      </c>
      <c r="BL40" s="204">
        <v>-23.3</v>
      </c>
      <c r="BM40" s="232">
        <v>-7.2</v>
      </c>
      <c r="BN40" s="204">
        <f>-20.1-13.5-1.4-BM40-BL40-BK40</f>
        <v>-4.2</v>
      </c>
      <c r="BO40" s="203"/>
      <c r="BP40" s="230">
        <v>-36.4</v>
      </c>
      <c r="BQ40" s="204">
        <v>-9.4</v>
      </c>
      <c r="BR40" s="232">
        <v>11.8</v>
      </c>
      <c r="BS40" s="204">
        <v>9.5</v>
      </c>
    </row>
    <row r="41" spans="1:71 16384:16384" x14ac:dyDescent="0.2">
      <c r="A41" s="15" t="s">
        <v>146</v>
      </c>
      <c r="C41" s="203">
        <v>-1.6107382550335569</v>
      </c>
      <c r="D41" s="204">
        <v>0</v>
      </c>
      <c r="E41" s="203">
        <v>-37.04697986577181</v>
      </c>
      <c r="F41" s="204">
        <v>0</v>
      </c>
      <c r="G41" s="205"/>
      <c r="H41" s="203">
        <v>-8.5906040268456376</v>
      </c>
      <c r="I41" s="204">
        <v>1.7449664429530201</v>
      </c>
      <c r="J41" s="203">
        <v>0</v>
      </c>
      <c r="K41" s="204">
        <v>0</v>
      </c>
      <c r="L41" s="205"/>
      <c r="M41" s="203">
        <v>0.93959731543624159</v>
      </c>
      <c r="N41" s="204">
        <v>1.3422818791946309</v>
      </c>
      <c r="O41" s="203">
        <v>0</v>
      </c>
      <c r="P41" s="204">
        <v>0</v>
      </c>
      <c r="Q41" s="205"/>
      <c r="R41" s="203">
        <v>0.53691275167785235</v>
      </c>
      <c r="S41" s="204">
        <v>1.6107382550335569</v>
      </c>
      <c r="T41" s="203">
        <v>0.13422818791946309</v>
      </c>
      <c r="U41" s="204">
        <v>0.13422818791946309</v>
      </c>
      <c r="V41" s="205"/>
      <c r="W41" s="230">
        <v>0.13422818791946309</v>
      </c>
      <c r="X41" s="204">
        <v>0.26845637583892618</v>
      </c>
      <c r="Y41" s="230">
        <v>0.13422818791946309</v>
      </c>
      <c r="Z41" s="204">
        <v>0.13422818791946309</v>
      </c>
      <c r="AA41" s="203"/>
      <c r="AB41" s="230">
        <v>0.26845637583892618</v>
      </c>
      <c r="AC41" s="204">
        <v>0.67114093959731547</v>
      </c>
      <c r="AD41" s="230">
        <v>0.13422818791946309</v>
      </c>
      <c r="AE41" s="204">
        <v>0.13422818791946309</v>
      </c>
      <c r="AF41" s="203"/>
      <c r="AG41" s="230">
        <v>0.13422818791946309</v>
      </c>
      <c r="AH41" s="204">
        <v>0.26845637583892618</v>
      </c>
      <c r="AI41" s="230">
        <v>0.13422818791946309</v>
      </c>
      <c r="AJ41" s="204">
        <v>0</v>
      </c>
      <c r="AK41" s="203"/>
      <c r="AL41" s="230">
        <f>(1+22)/7.45</f>
        <v>3.087248322147651</v>
      </c>
      <c r="AM41" s="204">
        <v>0.13422818791946309</v>
      </c>
      <c r="AN41" s="230">
        <v>0.26845637583892618</v>
      </c>
      <c r="AO41" s="204">
        <v>0.13422818791946309</v>
      </c>
      <c r="AP41" s="203"/>
      <c r="AQ41" s="230">
        <v>1.0738255033557047</v>
      </c>
      <c r="AR41" s="204">
        <v>0.13422818791946309</v>
      </c>
      <c r="AS41" s="230">
        <v>0.13422818791946309</v>
      </c>
      <c r="AT41" s="204">
        <v>0.53691275167785235</v>
      </c>
      <c r="AU41" s="203"/>
      <c r="AV41" s="230">
        <v>0.13422818791946309</v>
      </c>
      <c r="AW41" s="204">
        <v>0.13422818791946309</v>
      </c>
      <c r="AX41" s="230">
        <v>0</v>
      </c>
      <c r="AY41" s="204">
        <v>0</v>
      </c>
      <c r="AZ41" s="203"/>
      <c r="BA41" s="230">
        <v>11.409395973154362</v>
      </c>
      <c r="BB41" s="204">
        <v>0.13422818791946309</v>
      </c>
      <c r="BC41" s="230">
        <v>0.13422818791946309</v>
      </c>
      <c r="BD41" s="204">
        <v>0</v>
      </c>
      <c r="BE41" s="203"/>
      <c r="BF41" s="230">
        <f>6.3+0.1-4.7</f>
        <v>1.6999999999999993</v>
      </c>
      <c r="BG41" s="204">
        <f>0.1-0.9+6.3-24.9-1.7-2</f>
        <v>-23.099999999999998</v>
      </c>
      <c r="BH41" s="230">
        <v>-16.5</v>
      </c>
      <c r="BI41" s="204">
        <v>3.6</v>
      </c>
      <c r="BJ41" s="230"/>
      <c r="BK41" s="230">
        <v>7.8</v>
      </c>
      <c r="BL41" s="204">
        <f>1.7-0.2</f>
        <v>1.5</v>
      </c>
      <c r="BM41" s="232">
        <v>0.7</v>
      </c>
      <c r="BN41" s="204">
        <v>0.2</v>
      </c>
      <c r="BO41" s="203"/>
      <c r="BP41" s="230"/>
      <c r="BQ41" s="204"/>
      <c r="BR41" s="232"/>
      <c r="BS41" s="204"/>
    </row>
    <row r="42" spans="1:71 16384:16384" x14ac:dyDescent="0.2">
      <c r="A42" s="15" t="s">
        <v>187</v>
      </c>
      <c r="C42" s="203"/>
      <c r="D42" s="204"/>
      <c r="E42" s="203"/>
      <c r="F42" s="204"/>
      <c r="G42" s="205"/>
      <c r="H42" s="203"/>
      <c r="I42" s="204"/>
      <c r="J42" s="203"/>
      <c r="K42" s="204"/>
      <c r="L42" s="205"/>
      <c r="M42" s="203"/>
      <c r="N42" s="204"/>
      <c r="O42" s="203"/>
      <c r="P42" s="204"/>
      <c r="Q42" s="205"/>
      <c r="R42" s="203"/>
      <c r="S42" s="204"/>
      <c r="T42" s="203"/>
      <c r="U42" s="204"/>
      <c r="V42" s="205"/>
      <c r="W42" s="230"/>
      <c r="X42" s="204"/>
      <c r="Y42" s="230"/>
      <c r="Z42" s="204"/>
      <c r="AA42" s="203"/>
      <c r="AB42" s="230"/>
      <c r="AC42" s="204"/>
      <c r="AD42" s="230"/>
      <c r="AE42" s="204"/>
      <c r="AF42" s="203"/>
      <c r="AG42" s="230"/>
      <c r="AH42" s="204"/>
      <c r="AI42" s="230"/>
      <c r="AJ42" s="204"/>
      <c r="AK42" s="203"/>
      <c r="AL42" s="230"/>
      <c r="AM42" s="204"/>
      <c r="AN42" s="230"/>
      <c r="AO42" s="204"/>
      <c r="AP42" s="203"/>
      <c r="AQ42" s="230"/>
      <c r="AR42" s="204"/>
      <c r="AS42" s="230"/>
      <c r="AT42" s="204"/>
      <c r="AU42" s="203"/>
      <c r="AV42" s="230"/>
      <c r="AW42" s="204"/>
      <c r="AX42" s="230"/>
      <c r="AY42" s="204"/>
      <c r="AZ42" s="203"/>
      <c r="BA42" s="230"/>
      <c r="BB42" s="204"/>
      <c r="BC42" s="230"/>
      <c r="BD42" s="204"/>
      <c r="BE42" s="203"/>
      <c r="BF42" s="230"/>
      <c r="BG42" s="204"/>
      <c r="BH42" s="230"/>
      <c r="BI42" s="204"/>
      <c r="BJ42" s="230"/>
      <c r="BK42" s="230"/>
      <c r="BL42" s="204"/>
      <c r="BM42" s="232"/>
      <c r="BN42" s="204"/>
      <c r="BO42" s="203"/>
      <c r="BP42" s="230"/>
      <c r="BQ42" s="204"/>
      <c r="BR42" s="232">
        <f>150-1.7</f>
        <v>148.30000000000001</v>
      </c>
      <c r="BS42" s="204"/>
    </row>
    <row r="43" spans="1:71 16384:16384" x14ac:dyDescent="0.2">
      <c r="A43" s="15" t="s">
        <v>150</v>
      </c>
      <c r="C43" s="203"/>
      <c r="D43" s="204"/>
      <c r="E43" s="203"/>
      <c r="F43" s="204"/>
      <c r="G43" s="205"/>
      <c r="H43" s="203"/>
      <c r="I43" s="204"/>
      <c r="J43" s="203"/>
      <c r="K43" s="204"/>
      <c r="L43" s="205"/>
      <c r="M43" s="203"/>
      <c r="N43" s="204"/>
      <c r="O43" s="203"/>
      <c r="P43" s="204"/>
      <c r="Q43" s="205"/>
      <c r="R43" s="203"/>
      <c r="S43" s="204"/>
      <c r="T43" s="203"/>
      <c r="U43" s="204"/>
      <c r="V43" s="205"/>
      <c r="W43" s="230"/>
      <c r="X43" s="204"/>
      <c r="Y43" s="230"/>
      <c r="Z43" s="204"/>
      <c r="AA43" s="203"/>
      <c r="AB43" s="230"/>
      <c r="AC43" s="204"/>
      <c r="AD43" s="230"/>
      <c r="AE43" s="204"/>
      <c r="AF43" s="203"/>
      <c r="AG43" s="230"/>
      <c r="AH43" s="204"/>
      <c r="AI43" s="230"/>
      <c r="AJ43" s="204"/>
      <c r="AK43" s="203"/>
      <c r="AL43" s="230"/>
      <c r="AM43" s="204"/>
      <c r="AN43" s="230"/>
      <c r="AO43" s="204"/>
      <c r="AP43" s="203"/>
      <c r="AQ43" s="230"/>
      <c r="AR43" s="204"/>
      <c r="AS43" s="230"/>
      <c r="AT43" s="204"/>
      <c r="AU43" s="203"/>
      <c r="AV43" s="230"/>
      <c r="AW43" s="204"/>
      <c r="AX43" s="230"/>
      <c r="AY43" s="204"/>
      <c r="AZ43" s="203"/>
      <c r="BA43" s="230"/>
      <c r="BB43" s="204"/>
      <c r="BC43" s="230"/>
      <c r="BD43" s="204"/>
      <c r="BE43" s="203"/>
      <c r="BF43" s="230"/>
      <c r="BG43" s="204"/>
      <c r="BH43" s="230"/>
      <c r="BI43" s="204">
        <v>184.8</v>
      </c>
      <c r="BJ43" s="230"/>
      <c r="BK43" s="230"/>
      <c r="BL43" s="204"/>
      <c r="BM43" s="232"/>
      <c r="BN43" s="204"/>
      <c r="BO43" s="203"/>
      <c r="BP43" s="230"/>
      <c r="BQ43" s="204"/>
      <c r="BR43" s="232"/>
      <c r="BS43" s="204"/>
    </row>
    <row r="44" spans="1:71 16384:16384" x14ac:dyDescent="0.2">
      <c r="A44" s="15" t="s">
        <v>183</v>
      </c>
      <c r="C44" s="203"/>
      <c r="D44" s="204"/>
      <c r="E44" s="203"/>
      <c r="F44" s="204"/>
      <c r="G44" s="205"/>
      <c r="H44" s="203"/>
      <c r="I44" s="204"/>
      <c r="J44" s="203"/>
      <c r="K44" s="204"/>
      <c r="L44" s="205"/>
      <c r="M44" s="203"/>
      <c r="N44" s="204"/>
      <c r="O44" s="203"/>
      <c r="P44" s="204"/>
      <c r="Q44" s="205"/>
      <c r="R44" s="203"/>
      <c r="S44" s="204"/>
      <c r="T44" s="203"/>
      <c r="U44" s="204"/>
      <c r="V44" s="205"/>
      <c r="W44" s="230"/>
      <c r="X44" s="204"/>
      <c r="Y44" s="230"/>
      <c r="Z44" s="204"/>
      <c r="AA44" s="203"/>
      <c r="AB44" s="230"/>
      <c r="AC44" s="204"/>
      <c r="AD44" s="230"/>
      <c r="AE44" s="204"/>
      <c r="AF44" s="203"/>
      <c r="AG44" s="230"/>
      <c r="AH44" s="204"/>
      <c r="AI44" s="230"/>
      <c r="AJ44" s="204"/>
      <c r="AK44" s="203"/>
      <c r="AL44" s="230"/>
      <c r="AM44" s="204"/>
      <c r="AN44" s="230"/>
      <c r="AO44" s="204"/>
      <c r="AP44" s="203"/>
      <c r="AQ44" s="230"/>
      <c r="AR44" s="204"/>
      <c r="AS44" s="230"/>
      <c r="AT44" s="204"/>
      <c r="AU44" s="203"/>
      <c r="AV44" s="230"/>
      <c r="AW44" s="204"/>
      <c r="AX44" s="230"/>
      <c r="AY44" s="204"/>
      <c r="AZ44" s="203"/>
      <c r="BA44" s="230"/>
      <c r="BB44" s="204"/>
      <c r="BC44" s="230"/>
      <c r="BD44" s="204"/>
      <c r="BE44" s="203"/>
      <c r="BF44" s="230"/>
      <c r="BG44" s="204"/>
      <c r="BH44" s="230"/>
      <c r="BI44" s="204"/>
      <c r="BJ44" s="230"/>
      <c r="BK44" s="230"/>
      <c r="BL44" s="204"/>
      <c r="BM44" s="232">
        <v>0</v>
      </c>
      <c r="BN44" s="204">
        <v>-1039.3</v>
      </c>
      <c r="BO44" s="203"/>
      <c r="BP44" s="230"/>
      <c r="BQ44" s="204"/>
      <c r="BR44" s="232"/>
      <c r="BS44" s="204"/>
    </row>
    <row r="45" spans="1:71 16384:16384" s="98" customFormat="1" x14ac:dyDescent="0.2">
      <c r="A45" s="98" t="s">
        <v>83</v>
      </c>
      <c r="B45" s="99"/>
      <c r="C45" s="206">
        <v>0</v>
      </c>
      <c r="D45" s="207">
        <v>-26.308724832214764</v>
      </c>
      <c r="E45" s="206">
        <v>0</v>
      </c>
      <c r="F45" s="207">
        <v>0</v>
      </c>
      <c r="G45" s="208"/>
      <c r="H45" s="206">
        <v>0</v>
      </c>
      <c r="I45" s="207">
        <v>-39.463087248322147</v>
      </c>
      <c r="J45" s="206">
        <v>0</v>
      </c>
      <c r="K45" s="207">
        <v>0</v>
      </c>
      <c r="L45" s="208"/>
      <c r="M45" s="206">
        <v>0</v>
      </c>
      <c r="N45" s="207">
        <v>-31.677852348993287</v>
      </c>
      <c r="O45" s="206">
        <v>0</v>
      </c>
      <c r="P45" s="207">
        <v>0</v>
      </c>
      <c r="Q45" s="208"/>
      <c r="R45" s="206">
        <v>0</v>
      </c>
      <c r="S45" s="207">
        <v>-34.899328859060404</v>
      </c>
      <c r="T45" s="206">
        <v>0</v>
      </c>
      <c r="U45" s="207">
        <v>0</v>
      </c>
      <c r="V45" s="208"/>
      <c r="W45" s="206">
        <v>0</v>
      </c>
      <c r="X45" s="207">
        <v>0</v>
      </c>
      <c r="Y45" s="233">
        <v>0</v>
      </c>
      <c r="Z45" s="207">
        <v>0</v>
      </c>
      <c r="AA45" s="206"/>
      <c r="AB45" s="206">
        <v>-11.140939597315436</v>
      </c>
      <c r="AC45" s="207">
        <v>0</v>
      </c>
      <c r="AD45" s="233">
        <v>0</v>
      </c>
      <c r="AE45" s="207">
        <v>0</v>
      </c>
      <c r="AF45" s="206"/>
      <c r="AG45" s="206">
        <v>-6.3087248322147653</v>
      </c>
      <c r="AH45" s="207">
        <v>0</v>
      </c>
      <c r="AI45" s="233">
        <v>0</v>
      </c>
      <c r="AJ45" s="207">
        <v>0</v>
      </c>
      <c r="AK45" s="206"/>
      <c r="AL45" s="206">
        <v>-6.4429530201342278</v>
      </c>
      <c r="AM45" s="207">
        <v>0</v>
      </c>
      <c r="AN45" s="233">
        <v>0</v>
      </c>
      <c r="AO45" s="207">
        <v>0</v>
      </c>
      <c r="AP45" s="206"/>
      <c r="AQ45" s="231">
        <v>-25.63758389261745</v>
      </c>
      <c r="AR45" s="207">
        <v>0</v>
      </c>
      <c r="AS45" s="233">
        <v>0</v>
      </c>
      <c r="AT45" s="207">
        <v>0</v>
      </c>
      <c r="AU45" s="206"/>
      <c r="AV45" s="231">
        <v>-11.275167785234899</v>
      </c>
      <c r="AW45" s="207">
        <v>0</v>
      </c>
      <c r="AX45" s="233">
        <v>0</v>
      </c>
      <c r="AY45" s="207">
        <v>0</v>
      </c>
      <c r="AZ45" s="206"/>
      <c r="BA45" s="231">
        <v>-13.020134228187919</v>
      </c>
      <c r="BB45" s="207">
        <v>0</v>
      </c>
      <c r="BC45" s="233">
        <v>0</v>
      </c>
      <c r="BD45" s="207">
        <v>0</v>
      </c>
      <c r="BE45" s="206"/>
      <c r="BF45" s="231">
        <v>-13</v>
      </c>
      <c r="BG45" s="207">
        <v>0</v>
      </c>
      <c r="BH45" s="233">
        <v>0</v>
      </c>
      <c r="BI45" s="207">
        <v>0</v>
      </c>
      <c r="BJ45" s="231"/>
      <c r="BK45" s="231">
        <v>0</v>
      </c>
      <c r="BL45" s="207">
        <v>0</v>
      </c>
      <c r="BM45" s="233">
        <v>0</v>
      </c>
      <c r="BN45" s="207"/>
      <c r="BO45" s="206"/>
      <c r="BP45" s="231"/>
      <c r="BQ45" s="207"/>
      <c r="BR45" s="233"/>
      <c r="BS45" s="207"/>
    </row>
    <row r="46" spans="1:71 16384:16384" s="183" customFormat="1" x14ac:dyDescent="0.2">
      <c r="A46" s="183" t="s">
        <v>112</v>
      </c>
      <c r="B46" s="181"/>
      <c r="C46" s="234">
        <f>SUM(C37:C45)</f>
        <v>375.83892617449663</v>
      </c>
      <c r="D46" s="235">
        <f>SUM(D37:D45)</f>
        <v>370.73825503355704</v>
      </c>
      <c r="E46" s="234">
        <f>SUM(E37:E45)</f>
        <v>353.82550335570471</v>
      </c>
      <c r="F46" s="235">
        <f>SUM(F37:F45)</f>
        <v>367.11409395973152</v>
      </c>
      <c r="G46" s="236"/>
      <c r="H46" s="234">
        <f>SUM(H37:H45)</f>
        <v>372.48322147651004</v>
      </c>
      <c r="I46" s="235">
        <f>SUM(I37:I45)</f>
        <v>348.5906040268456</v>
      </c>
      <c r="J46" s="234">
        <f>SUM(J37:J45)</f>
        <v>359.32885906040264</v>
      </c>
      <c r="K46" s="235">
        <f>SUM(K37:K45)</f>
        <v>376.6442953020134</v>
      </c>
      <c r="L46" s="236"/>
      <c r="M46" s="234">
        <f>SUM(M37:M45)</f>
        <v>390.20134228187914</v>
      </c>
      <c r="N46" s="235">
        <f>SUM(N37:N45)</f>
        <v>385.50335570469792</v>
      </c>
      <c r="O46" s="234">
        <f>SUM(O37:O45)</f>
        <v>401.2080536912751</v>
      </c>
      <c r="P46" s="235">
        <f>SUM(P37:P45)</f>
        <v>440.67114093959725</v>
      </c>
      <c r="Q46" s="236"/>
      <c r="R46" s="234">
        <f>SUM(R37:R45)</f>
        <v>453.15436241610735</v>
      </c>
      <c r="S46" s="235">
        <f>SUM(S37:S45)</f>
        <v>455.97315436241604</v>
      </c>
      <c r="T46" s="234">
        <f>SUM(T37:T45)</f>
        <v>489.12751677852344</v>
      </c>
      <c r="U46" s="235">
        <f>SUM(U37:U45)</f>
        <v>465.06040268456371</v>
      </c>
      <c r="V46" s="236"/>
      <c r="W46" s="234">
        <f>SUM(W37:W45)</f>
        <v>467.47651006711402</v>
      </c>
      <c r="X46" s="235">
        <f>SUM(X37:X45)</f>
        <v>475.39597315436237</v>
      </c>
      <c r="Y46" s="234">
        <f>SUM(Y37:Y45)</f>
        <v>480.3624161073825</v>
      </c>
      <c r="Z46" s="235">
        <f>SUM(Z37:Z45)</f>
        <v>501.97315436241604</v>
      </c>
      <c r="AA46" s="234"/>
      <c r="AB46" s="234">
        <f>SUM(AB37:AB45)</f>
        <v>514.32214765100662</v>
      </c>
      <c r="AC46" s="235">
        <f>SUM(AC37:AC45)</f>
        <v>543.98657718120796</v>
      </c>
      <c r="AD46" s="234">
        <f>SUM(AD37:AD45)</f>
        <v>536.73825503355692</v>
      </c>
      <c r="AE46" s="235">
        <f>SUM(AE37:AE45)</f>
        <v>551.9060402684562</v>
      </c>
      <c r="AF46" s="234"/>
      <c r="AG46" s="234">
        <f>SUM(AG37:AG45)</f>
        <v>536.0671140939595</v>
      </c>
      <c r="AH46" s="235">
        <f>SUM(AH37:AH45)</f>
        <v>535.3959731543622</v>
      </c>
      <c r="AI46" s="234">
        <f>SUM(AI37:AI45)</f>
        <v>537.67785234899316</v>
      </c>
      <c r="AJ46" s="235">
        <f>SUM(AJ37:AJ45)</f>
        <v>545.73154362416096</v>
      </c>
      <c r="AK46" s="234"/>
      <c r="AL46" s="234">
        <f>SUM(AL37:AL45)</f>
        <v>553.24832214765081</v>
      </c>
      <c r="AM46" s="234">
        <f>SUM(AM37:AM45)</f>
        <v>745.99999999999977</v>
      </c>
      <c r="AN46" s="237">
        <f>SUM(AN37:AN45)</f>
        <v>759.28859060402669</v>
      </c>
      <c r="AO46" s="235">
        <f>SUM(AO37:AO45)</f>
        <v>770.02684563758373</v>
      </c>
      <c r="AP46" s="234"/>
      <c r="AQ46" s="237">
        <f>SUM(AQ37:AQ45)</f>
        <v>748.81879194630847</v>
      </c>
      <c r="AR46" s="235">
        <f>SUM(AR37:AR45)</f>
        <v>752.97986577181177</v>
      </c>
      <c r="AS46" s="237">
        <f>SUM(AS37:AS45)</f>
        <v>754.05369127516747</v>
      </c>
      <c r="AT46" s="235">
        <f>SUM(AT37:AT45)</f>
        <v>761.57046979865731</v>
      </c>
      <c r="AU46" s="234"/>
      <c r="AV46" s="237">
        <f>SUM(AV37:AV45)</f>
        <v>752.44295302013381</v>
      </c>
      <c r="AW46" s="235">
        <f>SUM(AW37:AW45)</f>
        <v>763.85234899328816</v>
      </c>
      <c r="AX46" s="237">
        <f>SUM(AX37:AX45)</f>
        <v>794.45637583892574</v>
      </c>
      <c r="AY46" s="235">
        <f>SUM(AY37:AY45)</f>
        <v>801.9731543624157</v>
      </c>
      <c r="AZ46" s="234"/>
      <c r="BA46" s="237">
        <f>SUM(BA37:BA45)</f>
        <v>847.87919463087201</v>
      </c>
      <c r="BB46" s="235">
        <f>SUM(BB37:BB45)</f>
        <v>803.44966442952966</v>
      </c>
      <c r="BC46" s="237">
        <f>SUM(BC37:BC45)</f>
        <v>799.69127516778474</v>
      </c>
      <c r="BD46" s="235">
        <f>SUM(BD37:BD45)</f>
        <v>809.45127516778484</v>
      </c>
      <c r="BE46" s="234"/>
      <c r="BF46" s="237">
        <f>SUM(BF37:BF45)</f>
        <v>802.95227516778493</v>
      </c>
      <c r="BG46" s="235">
        <f>SUM(BG37:BG45)</f>
        <v>801.65227516778498</v>
      </c>
      <c r="BH46" s="237">
        <f>SUM(BH37:BH45)</f>
        <v>760.15227516778498</v>
      </c>
      <c r="BI46" s="235">
        <f>SUM(BI37:BI45)</f>
        <v>951.35227516778491</v>
      </c>
      <c r="BJ46" s="234"/>
      <c r="BK46" s="237">
        <f>SUM(BK37:BK45)</f>
        <v>971.45227516778493</v>
      </c>
      <c r="BL46" s="235">
        <f>SUM(BL37:BL45)</f>
        <v>982.15227516778498</v>
      </c>
      <c r="BM46" s="237">
        <f>SUM(BM37:BM45)</f>
        <v>993.252275167785</v>
      </c>
      <c r="BN46" s="235">
        <f>SUM(BN37:BN45)</f>
        <v>816.25227516778523</v>
      </c>
      <c r="BO46" s="234"/>
      <c r="BP46" s="237">
        <f>SUM(BP37:BP45)</f>
        <v>774.85227516778525</v>
      </c>
      <c r="BQ46" s="235">
        <f>SUM(BQ37:BQ45)</f>
        <v>767.15227516778532</v>
      </c>
      <c r="BR46" s="237">
        <f>SUM(BR37:BR45)</f>
        <v>924.45227516778527</v>
      </c>
      <c r="BS46" s="235">
        <f>SUM(BS37:BS45)</f>
        <v>895.55227516778518</v>
      </c>
      <c r="XFD46" s="191"/>
    </row>
    <row r="47" spans="1:71 16384:16384" x14ac:dyDescent="0.2">
      <c r="AQ47" s="16"/>
      <c r="AR47" s="16"/>
      <c r="AV47" s="109"/>
      <c r="AW47" s="16"/>
      <c r="BA47" s="109"/>
      <c r="BB47" s="16"/>
      <c r="BF47" s="109"/>
      <c r="BG47" s="16"/>
      <c r="BK47" s="109"/>
      <c r="BL47" s="16"/>
      <c r="BP47" s="109"/>
      <c r="BQ47" s="16"/>
    </row>
  </sheetData>
  <mergeCells count="27"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33"/>
  <sheetViews>
    <sheetView showGridLines="0" zoomScale="90" zoomScaleNormal="90" zoomScaleSheetLayoutView="75" workbookViewId="0">
      <pane xSplit="1" ySplit="4" topLeftCell="BL5" activePane="bottomRight" state="frozen"/>
      <selection activeCell="BW54" sqref="BW54"/>
      <selection pane="topRight" activeCell="BW54" sqref="BW54"/>
      <selection pane="bottomLeft" activeCell="BW54" sqref="BW54"/>
      <selection pane="bottomRight" activeCell="BW54" sqref="BW54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16384" width="9.140625" style="15"/>
  </cols>
  <sheetData>
    <row r="1" spans="1:85" x14ac:dyDescent="0.2">
      <c r="C1" s="244"/>
      <c r="D1" s="244"/>
      <c r="E1" s="244"/>
      <c r="F1" s="244"/>
      <c r="G1" s="244"/>
      <c r="I1" s="244"/>
      <c r="J1" s="244"/>
      <c r="K1" s="244"/>
      <c r="L1" s="244"/>
      <c r="M1" s="244"/>
      <c r="O1" s="244"/>
      <c r="P1" s="244"/>
      <c r="Q1" s="244"/>
      <c r="R1" s="244"/>
      <c r="S1" s="244"/>
      <c r="U1" s="244"/>
      <c r="V1" s="244"/>
      <c r="W1" s="244"/>
      <c r="X1" s="244"/>
      <c r="Y1" s="244"/>
      <c r="AA1" s="244"/>
      <c r="AB1" s="244"/>
      <c r="AC1" s="244"/>
      <c r="AD1" s="244"/>
      <c r="AE1" s="244"/>
      <c r="AG1" s="244"/>
      <c r="AH1" s="244"/>
      <c r="AI1" s="244"/>
      <c r="AJ1" s="244"/>
      <c r="AK1" s="244"/>
      <c r="AM1" s="244"/>
      <c r="AN1" s="244"/>
      <c r="AO1" s="244"/>
      <c r="AP1" s="244"/>
      <c r="AQ1" s="244"/>
      <c r="AS1" s="244"/>
      <c r="AT1" s="244"/>
      <c r="AU1" s="244"/>
      <c r="AV1" s="244"/>
      <c r="AW1" s="244"/>
      <c r="AY1" s="244"/>
      <c r="AZ1" s="244"/>
      <c r="BA1" s="244"/>
      <c r="BB1" s="244"/>
      <c r="BC1" s="244"/>
      <c r="BE1" s="244"/>
      <c r="BF1" s="244"/>
      <c r="BG1" s="244"/>
      <c r="BH1" s="244"/>
      <c r="BI1" s="244"/>
      <c r="BK1" s="244"/>
      <c r="BL1" s="244"/>
      <c r="BM1" s="244"/>
      <c r="BN1" s="244"/>
      <c r="BO1" s="244"/>
      <c r="BQ1" s="244"/>
      <c r="BR1" s="244"/>
      <c r="BS1" s="244"/>
      <c r="BT1" s="244"/>
      <c r="BU1" s="244"/>
      <c r="BW1" s="244"/>
      <c r="BX1" s="244"/>
      <c r="BY1" s="244"/>
      <c r="BZ1" s="244"/>
      <c r="CA1" s="244"/>
      <c r="CC1" s="244"/>
      <c r="CD1" s="244"/>
      <c r="CE1" s="244"/>
      <c r="CF1" s="244"/>
      <c r="CG1" s="244"/>
    </row>
    <row r="2" spans="1:85" x14ac:dyDescent="0.2">
      <c r="AQ2" s="96"/>
      <c r="AW2" s="96"/>
      <c r="BC2" s="96"/>
      <c r="BI2" s="96"/>
      <c r="BO2" s="96"/>
      <c r="BU2" s="96"/>
      <c r="BW2" s="243"/>
      <c r="BX2" s="243"/>
      <c r="BY2" s="243"/>
      <c r="BZ2" s="243"/>
      <c r="CA2" s="243"/>
      <c r="CC2" s="243"/>
      <c r="CD2" s="243"/>
      <c r="CE2" s="243"/>
      <c r="CF2" s="243"/>
      <c r="CG2" s="243"/>
    </row>
    <row r="3" spans="1:85" s="104" customFormat="1" x14ac:dyDescent="0.2">
      <c r="A3" s="110" t="s">
        <v>162</v>
      </c>
      <c r="C3" s="247" t="s">
        <v>116</v>
      </c>
      <c r="D3" s="248"/>
      <c r="E3" s="248"/>
      <c r="F3" s="248"/>
      <c r="G3" s="248"/>
      <c r="I3" s="247" t="s">
        <v>117</v>
      </c>
      <c r="J3" s="248"/>
      <c r="K3" s="248"/>
      <c r="L3" s="248"/>
      <c r="M3" s="248"/>
      <c r="O3" s="247" t="s">
        <v>118</v>
      </c>
      <c r="P3" s="248"/>
      <c r="Q3" s="248"/>
      <c r="R3" s="248"/>
      <c r="S3" s="248"/>
      <c r="U3" s="247" t="s">
        <v>119</v>
      </c>
      <c r="V3" s="248"/>
      <c r="W3" s="248"/>
      <c r="X3" s="248"/>
      <c r="Y3" s="248"/>
      <c r="AA3" s="247" t="s">
        <v>120</v>
      </c>
      <c r="AB3" s="248"/>
      <c r="AC3" s="248"/>
      <c r="AD3" s="248"/>
      <c r="AE3" s="248"/>
      <c r="AG3" s="247" t="s">
        <v>121</v>
      </c>
      <c r="AH3" s="248"/>
      <c r="AI3" s="248"/>
      <c r="AJ3" s="248"/>
      <c r="AK3" s="248"/>
      <c r="AM3" s="247" t="s">
        <v>126</v>
      </c>
      <c r="AN3" s="248"/>
      <c r="AO3" s="248"/>
      <c r="AP3" s="248"/>
      <c r="AQ3" s="248"/>
      <c r="AS3" s="247" t="s">
        <v>125</v>
      </c>
      <c r="AT3" s="248"/>
      <c r="AU3" s="248"/>
      <c r="AV3" s="248"/>
      <c r="AW3" s="248"/>
      <c r="AY3" s="247" t="s">
        <v>124</v>
      </c>
      <c r="AZ3" s="248"/>
      <c r="BA3" s="248"/>
      <c r="BB3" s="248"/>
      <c r="BC3" s="248"/>
      <c r="BE3" s="247" t="s">
        <v>123</v>
      </c>
      <c r="BF3" s="248"/>
      <c r="BG3" s="248"/>
      <c r="BH3" s="248"/>
      <c r="BI3" s="248"/>
      <c r="BK3" s="247" t="s">
        <v>122</v>
      </c>
      <c r="BL3" s="248"/>
      <c r="BM3" s="248"/>
      <c r="BN3" s="248"/>
      <c r="BO3" s="248"/>
      <c r="BQ3" s="247" t="s">
        <v>140</v>
      </c>
      <c r="BR3" s="248"/>
      <c r="BS3" s="248"/>
      <c r="BT3" s="248"/>
      <c r="BU3" s="248"/>
      <c r="BW3" s="247" t="s">
        <v>169</v>
      </c>
      <c r="BX3" s="248"/>
      <c r="BY3" s="248"/>
      <c r="BZ3" s="248"/>
      <c r="CA3" s="248"/>
      <c r="CC3" s="247" t="s">
        <v>184</v>
      </c>
      <c r="CD3" s="248"/>
      <c r="CE3" s="248"/>
      <c r="CF3" s="248"/>
      <c r="CG3" s="248"/>
    </row>
    <row r="4" spans="1:85" s="186" customFormat="1" x14ac:dyDescent="0.2">
      <c r="A4" s="185" t="s">
        <v>180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I4" s="187" t="s">
        <v>10</v>
      </c>
      <c r="J4" s="187" t="s">
        <v>11</v>
      </c>
      <c r="K4" s="187" t="s">
        <v>12</v>
      </c>
      <c r="L4" s="187" t="s">
        <v>13</v>
      </c>
      <c r="M4" s="187" t="s">
        <v>14</v>
      </c>
      <c r="O4" s="187" t="s">
        <v>10</v>
      </c>
      <c r="P4" s="187" t="s">
        <v>11</v>
      </c>
      <c r="Q4" s="187" t="s">
        <v>12</v>
      </c>
      <c r="R4" s="187" t="s">
        <v>13</v>
      </c>
      <c r="S4" s="187" t="s">
        <v>14</v>
      </c>
      <c r="U4" s="187" t="s">
        <v>10</v>
      </c>
      <c r="V4" s="187" t="s">
        <v>11</v>
      </c>
      <c r="W4" s="187" t="s">
        <v>12</v>
      </c>
      <c r="X4" s="187" t="s">
        <v>13</v>
      </c>
      <c r="Y4" s="187" t="s">
        <v>14</v>
      </c>
      <c r="AA4" s="187" t="s">
        <v>10</v>
      </c>
      <c r="AB4" s="187" t="s">
        <v>11</v>
      </c>
      <c r="AC4" s="187" t="s">
        <v>12</v>
      </c>
      <c r="AD4" s="187" t="s">
        <v>13</v>
      </c>
      <c r="AE4" s="187" t="s">
        <v>14</v>
      </c>
      <c r="AG4" s="187" t="s">
        <v>10</v>
      </c>
      <c r="AH4" s="187" t="s">
        <v>11</v>
      </c>
      <c r="AI4" s="187" t="s">
        <v>12</v>
      </c>
      <c r="AJ4" s="187" t="s">
        <v>13</v>
      </c>
      <c r="AK4" s="187" t="s">
        <v>14</v>
      </c>
      <c r="AM4" s="187" t="s">
        <v>10</v>
      </c>
      <c r="AN4" s="187" t="s">
        <v>11</v>
      </c>
      <c r="AO4" s="187" t="s">
        <v>12</v>
      </c>
      <c r="AP4" s="187" t="s">
        <v>13</v>
      </c>
      <c r="AQ4" s="187" t="s">
        <v>14</v>
      </c>
      <c r="AS4" s="187" t="s">
        <v>10</v>
      </c>
      <c r="AT4" s="187" t="s">
        <v>11</v>
      </c>
      <c r="AU4" s="187" t="s">
        <v>12</v>
      </c>
      <c r="AV4" s="187" t="s">
        <v>13</v>
      </c>
      <c r="AW4" s="187" t="s">
        <v>14</v>
      </c>
      <c r="AY4" s="187" t="s">
        <v>10</v>
      </c>
      <c r="AZ4" s="187" t="s">
        <v>11</v>
      </c>
      <c r="BA4" s="187" t="s">
        <v>12</v>
      </c>
      <c r="BB4" s="187" t="s">
        <v>13</v>
      </c>
      <c r="BC4" s="187" t="s">
        <v>14</v>
      </c>
      <c r="BE4" s="187" t="s">
        <v>10</v>
      </c>
      <c r="BF4" s="187" t="s">
        <v>11</v>
      </c>
      <c r="BG4" s="187" t="s">
        <v>12</v>
      </c>
      <c r="BH4" s="187" t="s">
        <v>13</v>
      </c>
      <c r="BI4" s="187" t="s">
        <v>14</v>
      </c>
      <c r="BK4" s="188" t="s">
        <v>10</v>
      </c>
      <c r="BL4" s="188" t="s">
        <v>11</v>
      </c>
      <c r="BM4" s="188" t="s">
        <v>12</v>
      </c>
      <c r="BN4" s="188" t="s">
        <v>13</v>
      </c>
      <c r="BO4" s="188" t="s">
        <v>14</v>
      </c>
      <c r="BP4" s="185"/>
      <c r="BQ4" s="188" t="s">
        <v>10</v>
      </c>
      <c r="BR4" s="188" t="s">
        <v>11</v>
      </c>
      <c r="BS4" s="188" t="s">
        <v>12</v>
      </c>
      <c r="BT4" s="188" t="s">
        <v>13</v>
      </c>
      <c r="BU4" s="188" t="s">
        <v>14</v>
      </c>
      <c r="BV4" s="185"/>
      <c r="BW4" s="188" t="s">
        <v>10</v>
      </c>
      <c r="BX4" s="188" t="s">
        <v>11</v>
      </c>
      <c r="BY4" s="188" t="s">
        <v>12</v>
      </c>
      <c r="BZ4" s="188" t="s">
        <v>13</v>
      </c>
      <c r="CA4" s="188" t="s">
        <v>14</v>
      </c>
      <c r="CC4" s="188" t="s">
        <v>10</v>
      </c>
      <c r="CD4" s="188" t="s">
        <v>11</v>
      </c>
      <c r="CE4" s="188" t="s">
        <v>12</v>
      </c>
      <c r="CF4" s="188" t="s">
        <v>13</v>
      </c>
      <c r="CG4" s="188" t="s">
        <v>14</v>
      </c>
    </row>
    <row r="5" spans="1:85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</row>
    <row r="6" spans="1:85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</row>
    <row r="7" spans="1:85" x14ac:dyDescent="0.2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</row>
    <row r="8" spans="1:85" x14ac:dyDescent="0.2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</row>
    <row r="9" spans="1:85" ht="12.75" customHeight="1" x14ac:dyDescent="0.2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</row>
    <row r="10" spans="1:85" s="96" customFormat="1" ht="12.75" customHeight="1" x14ac:dyDescent="0.2">
      <c r="A10" s="15" t="s">
        <v>128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</row>
    <row r="11" spans="1:85" s="115" customFormat="1" ht="15.75" customHeight="1" x14ac:dyDescent="0.2">
      <c r="A11" s="112" t="s">
        <v>58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</row>
    <row r="12" spans="1:85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</row>
    <row r="13" spans="1:85" x14ac:dyDescent="0.2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</row>
    <row r="14" spans="1:85" x14ac:dyDescent="0.2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</row>
    <row r="15" spans="1:85" x14ac:dyDescent="0.2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</row>
    <row r="16" spans="1:85" ht="15" customHeight="1" x14ac:dyDescent="0.2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</row>
    <row r="17" spans="1:85" x14ac:dyDescent="0.2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</row>
    <row r="18" spans="1:85" s="96" customFormat="1" ht="12.75" customHeight="1" x14ac:dyDescent="0.2">
      <c r="A18" s="15" t="s">
        <v>93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</row>
    <row r="19" spans="1:85" s="115" customFormat="1" x14ac:dyDescent="0.2">
      <c r="A19" s="112" t="s">
        <v>129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9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9">
        <f>SUM(CF13:CF18)</f>
        <v>-26.9</v>
      </c>
      <c r="CG19" s="113">
        <f>SUM(CG13:CG18)</f>
        <v>-60.9</v>
      </c>
    </row>
    <row r="20" spans="1:85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200"/>
      <c r="CA20" s="117"/>
      <c r="CC20" s="116"/>
      <c r="CD20" s="118"/>
      <c r="CE20" s="118"/>
      <c r="CF20" s="200"/>
      <c r="CG20" s="117"/>
    </row>
    <row r="21" spans="1:85" x14ac:dyDescent="0.2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01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201">
        <f>CF11+CF19</f>
        <v>61.099999999999987</v>
      </c>
      <c r="CG21" s="39">
        <f>CG11+CG19</f>
        <v>-103.10000000000001</v>
      </c>
    </row>
    <row r="22" spans="1:85" x14ac:dyDescent="0.2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</row>
    <row r="23" spans="1:85" ht="12.75" customHeight="1" x14ac:dyDescent="0.2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4">
        <v>0</v>
      </c>
      <c r="P23" s="104">
        <v>-31.677852348993287</v>
      </c>
      <c r="Q23" s="104">
        <v>0</v>
      </c>
      <c r="R23" s="104">
        <v>0</v>
      </c>
      <c r="S23" s="121">
        <f>SUM(O23:R23)</f>
        <v>-31.677852348993287</v>
      </c>
      <c r="T23" s="104"/>
      <c r="U23" s="104">
        <v>0</v>
      </c>
      <c r="V23" s="104">
        <v>-34.899328859060404</v>
      </c>
      <c r="W23" s="104">
        <v>0</v>
      </c>
      <c r="X23" s="111">
        <v>0</v>
      </c>
      <c r="Y23" s="121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</row>
    <row r="24" spans="1:85" ht="12.75" customHeight="1" x14ac:dyDescent="0.2">
      <c r="A24" s="15" t="s">
        <v>78</v>
      </c>
      <c r="G24" s="39"/>
      <c r="M24" s="39"/>
      <c r="O24" s="104"/>
      <c r="P24" s="104"/>
      <c r="Q24" s="104"/>
      <c r="R24" s="104"/>
      <c r="S24" s="121"/>
      <c r="T24" s="104"/>
      <c r="U24" s="104"/>
      <c r="V24" s="104"/>
      <c r="W24" s="104"/>
      <c r="X24" s="111"/>
      <c r="Y24" s="121"/>
      <c r="AB24" s="17"/>
      <c r="AC24" s="16"/>
      <c r="AD24" s="16"/>
      <c r="AE24" s="39"/>
      <c r="AG24" s="15">
        <v>-0.53691275167785235</v>
      </c>
      <c r="AH24" s="16">
        <v>0</v>
      </c>
      <c r="AI24" s="16">
        <v>-2.6845637583892619</v>
      </c>
      <c r="AJ24" s="16">
        <v>0</v>
      </c>
      <c r="AK24" s="39">
        <f>SUM(AG24:AJ24)</f>
        <v>-3.2214765100671143</v>
      </c>
      <c r="AM24" s="15">
        <v>0</v>
      </c>
      <c r="AN24" s="16">
        <v>0</v>
      </c>
      <c r="AO24" s="16">
        <v>0</v>
      </c>
      <c r="AP24" s="16">
        <v>-0.13422818791946309</v>
      </c>
      <c r="AQ24" s="39">
        <f>SUM(AM24:AP24)</f>
        <v>-0.13422818791946309</v>
      </c>
      <c r="AS24" s="15">
        <v>-0.13422818791946309</v>
      </c>
      <c r="AT24" s="16">
        <v>-0.13422818791946309</v>
      </c>
      <c r="AU24" s="16">
        <v>0</v>
      </c>
      <c r="AV24" s="16">
        <v>0</v>
      </c>
      <c r="AW24" s="39">
        <f>SUM(AS24:AV24)</f>
        <v>-0.26845637583892618</v>
      </c>
      <c r="AY24" s="15">
        <v>0</v>
      </c>
      <c r="AZ24" s="16">
        <v>0</v>
      </c>
      <c r="BA24" s="16">
        <v>0</v>
      </c>
      <c r="BB24" s="16">
        <v>0</v>
      </c>
      <c r="BC24" s="39">
        <f>SUM(AY24:BB24)</f>
        <v>0</v>
      </c>
      <c r="BF24" s="16"/>
      <c r="BG24" s="16">
        <v>-0.13422818791946309</v>
      </c>
      <c r="BH24" s="16"/>
      <c r="BI24" s="39">
        <f>SUM(BE24:BH24)</f>
        <v>-0.13422818791946309</v>
      </c>
      <c r="BL24" s="16"/>
      <c r="BM24" s="16"/>
      <c r="BN24" s="16"/>
      <c r="BO24" s="39">
        <f>SUM(BK24:BN24)</f>
        <v>0</v>
      </c>
      <c r="BR24" s="16">
        <v>-3</v>
      </c>
      <c r="BS24" s="16">
        <v>-0.8</v>
      </c>
      <c r="BT24" s="16">
        <v>-0.6</v>
      </c>
      <c r="BU24" s="39">
        <f>SUM(BQ24:BT24)</f>
        <v>-4.3999999999999995</v>
      </c>
      <c r="BX24" s="16"/>
      <c r="BY24" s="16"/>
      <c r="BZ24" s="17"/>
      <c r="CA24" s="39">
        <f>SUM(BW24:BZ24)</f>
        <v>0</v>
      </c>
      <c r="CD24" s="16"/>
      <c r="CE24" s="16"/>
      <c r="CF24" s="17"/>
      <c r="CG24" s="39">
        <f>SUM(CC24:CF24)</f>
        <v>0</v>
      </c>
    </row>
    <row r="25" spans="1:85" s="96" customFormat="1" ht="12.75" customHeight="1" x14ac:dyDescent="0.2">
      <c r="A25" s="15" t="s">
        <v>147</v>
      </c>
      <c r="B25" s="15"/>
      <c r="C25" s="104">
        <v>-1.6107382550335569</v>
      </c>
      <c r="D25" s="104">
        <v>0</v>
      </c>
      <c r="E25" s="104">
        <v>-37.04697986577181</v>
      </c>
      <c r="F25" s="104">
        <v>-1.8791946308724832</v>
      </c>
      <c r="G25" s="121">
        <f>SUM(C25:F25)</f>
        <v>-40.536912751677853</v>
      </c>
      <c r="H25" s="15"/>
      <c r="I25" s="104">
        <v>-8.5906040268456376</v>
      </c>
      <c r="J25" s="104">
        <v>1.8791946308724832</v>
      </c>
      <c r="K25" s="104">
        <v>0</v>
      </c>
      <c r="L25" s="104">
        <v>0</v>
      </c>
      <c r="M25" s="121">
        <f>SUM(I25:L25)</f>
        <v>-6.7114093959731544</v>
      </c>
      <c r="N25" s="15"/>
      <c r="O25" s="104">
        <v>0.93959731543624159</v>
      </c>
      <c r="P25" s="104">
        <v>1.2080536912751678</v>
      </c>
      <c r="Q25" s="104">
        <v>-0.13422818791946309</v>
      </c>
      <c r="R25" s="104">
        <v>0</v>
      </c>
      <c r="S25" s="121">
        <f>SUM(O25:R25)</f>
        <v>2.0134228187919465</v>
      </c>
      <c r="T25" s="15"/>
      <c r="U25" s="104">
        <v>0.40268456375838924</v>
      </c>
      <c r="V25" s="104">
        <v>1.3422818791946309</v>
      </c>
      <c r="W25" s="104">
        <v>0</v>
      </c>
      <c r="X25" s="111">
        <v>0</v>
      </c>
      <c r="Y25" s="121">
        <f>SUM(U25:X25)</f>
        <v>1.7449664429530203</v>
      </c>
      <c r="Z25" s="15"/>
      <c r="AA25" s="104">
        <v>0</v>
      </c>
      <c r="AB25" s="104">
        <v>0</v>
      </c>
      <c r="AC25" s="104">
        <v>0</v>
      </c>
      <c r="AD25" s="111">
        <v>0</v>
      </c>
      <c r="AE25" s="121">
        <f>SUM(AA25:AD25)</f>
        <v>0</v>
      </c>
      <c r="AG25" s="104">
        <v>0.13422818791946309</v>
      </c>
      <c r="AH25" s="111">
        <v>0.40268456375838924</v>
      </c>
      <c r="AI25" s="104">
        <v>0</v>
      </c>
      <c r="AJ25" s="111">
        <v>0</v>
      </c>
      <c r="AK25" s="121">
        <f>SUM(AG25:AJ25)</f>
        <v>0.53691275167785235</v>
      </c>
      <c r="AM25" s="104">
        <v>0</v>
      </c>
      <c r="AN25" s="111">
        <v>0</v>
      </c>
      <c r="AO25" s="104">
        <v>0</v>
      </c>
      <c r="AP25" s="111">
        <v>0</v>
      </c>
      <c r="AQ25" s="121">
        <f>SUM(AM25:AP25)</f>
        <v>0</v>
      </c>
      <c r="AS25" s="104">
        <v>2.9530201342281877</v>
      </c>
      <c r="AT25" s="111">
        <v>0</v>
      </c>
      <c r="AU25" s="104">
        <v>0</v>
      </c>
      <c r="AV25" s="111">
        <v>0.13422818791946309</v>
      </c>
      <c r="AW25" s="121">
        <f>SUM(AS25:AV25)</f>
        <v>3.0872483221476505</v>
      </c>
      <c r="AY25" s="104">
        <v>0.93959731543624159</v>
      </c>
      <c r="AZ25" s="111">
        <v>0</v>
      </c>
      <c r="BA25" s="104">
        <v>0</v>
      </c>
      <c r="BB25" s="111">
        <v>0</v>
      </c>
      <c r="BC25" s="121">
        <f>SUM(AY25:BB25)</f>
        <v>0.93959731543624159</v>
      </c>
      <c r="BE25" s="104">
        <v>0.13422818791946309</v>
      </c>
      <c r="BF25" s="111"/>
      <c r="BG25" s="104"/>
      <c r="BH25" s="111"/>
      <c r="BI25" s="121">
        <f>SUM(BE25:BH25)</f>
        <v>0.13422818791946309</v>
      </c>
      <c r="BK25" s="104">
        <v>11.409395973154362</v>
      </c>
      <c r="BL25" s="111"/>
      <c r="BM25" s="104"/>
      <c r="BN25" s="111">
        <v>-0.1</v>
      </c>
      <c r="BO25" s="121">
        <f>SUM(BK25:BN25)</f>
        <v>11.309395973154363</v>
      </c>
      <c r="BQ25" s="104">
        <f>-4.7+6.3</f>
        <v>1.5999999999999996</v>
      </c>
      <c r="BR25" s="111">
        <v>-20.100000000000001</v>
      </c>
      <c r="BS25" s="104">
        <f>-15.7</f>
        <v>-15.7</v>
      </c>
      <c r="BT25" s="111">
        <v>184.7</v>
      </c>
      <c r="BU25" s="121">
        <f>SUM(BQ25:BT25)</f>
        <v>150.5</v>
      </c>
      <c r="BW25" s="104">
        <v>7.8</v>
      </c>
      <c r="BX25" s="111">
        <v>1.7</v>
      </c>
      <c r="BY25" s="104">
        <v>0.6</v>
      </c>
      <c r="BZ25" s="119">
        <v>0</v>
      </c>
      <c r="CA25" s="121">
        <f>SUM(BW25:BZ25)</f>
        <v>10.1</v>
      </c>
      <c r="CC25" s="104"/>
      <c r="CD25" s="111"/>
      <c r="CE25" s="104">
        <v>148.30000000000001</v>
      </c>
      <c r="CF25" s="119">
        <v>0</v>
      </c>
      <c r="CG25" s="121">
        <f>SUM(CC25:CF25)</f>
        <v>148.30000000000001</v>
      </c>
    </row>
    <row r="26" spans="1:85" s="115" customFormat="1" x14ac:dyDescent="0.2">
      <c r="A26" s="112" t="s">
        <v>28</v>
      </c>
      <c r="B26" s="112"/>
      <c r="C26" s="112">
        <f>SUM(C21:C25)</f>
        <v>-23.624161073825501</v>
      </c>
      <c r="D26" s="112">
        <f>SUM(D21:D25)</f>
        <v>-27.248322147651002</v>
      </c>
      <c r="E26" s="112">
        <f>SUM(E21:E25)</f>
        <v>-39.060402684563755</v>
      </c>
      <c r="F26" s="112">
        <f>SUM(F21:F25)</f>
        <v>12.885906040268456</v>
      </c>
      <c r="G26" s="113">
        <f>SUM(G21:G25)</f>
        <v>-77.046979865771817</v>
      </c>
      <c r="H26" s="112"/>
      <c r="I26" s="112">
        <f>SUM(I21:I25)</f>
        <v>-53.020134228187921</v>
      </c>
      <c r="J26" s="112">
        <f>SUM(J21:J25)</f>
        <v>-6.1744966442953029</v>
      </c>
      <c r="K26" s="112">
        <f>SUM(K21:K25)</f>
        <v>7.5167785234899327</v>
      </c>
      <c r="L26" s="112">
        <f>SUM(L21:L25)</f>
        <v>14.8993288590604</v>
      </c>
      <c r="M26" s="113">
        <f>SUM(M21:M25)</f>
        <v>-36.77852348993288</v>
      </c>
      <c r="N26" s="112"/>
      <c r="O26" s="112">
        <f>SUM(O21:O25)</f>
        <v>-130.46979865771812</v>
      </c>
      <c r="P26" s="112">
        <f>SUM(P21:P25)</f>
        <v>-43.758389261744966</v>
      </c>
      <c r="Q26" s="112">
        <f>SUM(Q21:Q25)</f>
        <v>2.147651006711405</v>
      </c>
      <c r="R26" s="112">
        <f>SUM(R21:R25)</f>
        <v>44.026845637583897</v>
      </c>
      <c r="S26" s="113">
        <f>SUM(S21:S25)</f>
        <v>-128.05369127516778</v>
      </c>
      <c r="T26" s="112"/>
      <c r="U26" s="112">
        <f>SUM(U21:U25)</f>
        <v>-24.429530201342285</v>
      </c>
      <c r="V26" s="112">
        <f>SUM(V21:V25)</f>
        <v>-74.765100671140942</v>
      </c>
      <c r="W26" s="112">
        <f>SUM(W21:W25)</f>
        <v>-4.0268456375838895</v>
      </c>
      <c r="X26" s="114">
        <f>SUM(X21:X25)</f>
        <v>68.322147651006716</v>
      </c>
      <c r="Y26" s="113">
        <f>SUM(Y21:Y25)</f>
        <v>-34.899328859060383</v>
      </c>
      <c r="Z26" s="112"/>
      <c r="AA26" s="112">
        <f>SUM(AA21:AA25)</f>
        <v>-5.060402684563762</v>
      </c>
      <c r="AB26" s="112">
        <f>SUM(AB21:AB25)</f>
        <v>-36.912751677852349</v>
      </c>
      <c r="AC26" s="114">
        <f>SUM(AC21:AC25)</f>
        <v>-10.738255033557049</v>
      </c>
      <c r="AD26" s="114">
        <f>SUM(AD21:AD25)</f>
        <v>-7.114093959731548</v>
      </c>
      <c r="AE26" s="113">
        <f>SUM(AE21:AE25)</f>
        <v>-59.825503355704683</v>
      </c>
      <c r="AG26" s="112">
        <f>SUM(AG21:AG25)</f>
        <v>-84.295302013422813</v>
      </c>
      <c r="AH26" s="114">
        <f>SUM(AH21:AH25)</f>
        <v>-53.288590604026844</v>
      </c>
      <c r="AI26" s="114">
        <f>SUM(AI21:AI25)</f>
        <v>-44.697986577181204</v>
      </c>
      <c r="AJ26" s="114">
        <f>SUM(AJ21:AJ25)</f>
        <v>4.2953020134228197</v>
      </c>
      <c r="AK26" s="113">
        <f>SUM(AK21:AK25)</f>
        <v>-177.98657718120802</v>
      </c>
      <c r="AM26" s="112">
        <f>SUM(AM21:AM25)</f>
        <v>-98.255033557046971</v>
      </c>
      <c r="AN26" s="114">
        <f>SUM(AN21:AN25)</f>
        <v>-15.570469798657715</v>
      </c>
      <c r="AO26" s="114">
        <f>SUM(AO21:AO25)</f>
        <v>27.382550335570471</v>
      </c>
      <c r="AP26" s="114">
        <f>SUM(AP21:AP25)</f>
        <v>46.577181208053695</v>
      </c>
      <c r="AQ26" s="113">
        <f>SUM(AQ21:AQ25)</f>
        <v>-39.86577181208051</v>
      </c>
      <c r="AS26" s="112">
        <f>SUM(AS21:AS25)</f>
        <v>-11.543624161073822</v>
      </c>
      <c r="AT26" s="114">
        <f>SUM(AT21:AT25)</f>
        <v>-13.691275167785234</v>
      </c>
      <c r="AU26" s="114">
        <f>SUM(AU21:AU25)</f>
        <v>-11.677852348993291</v>
      </c>
      <c r="AV26" s="114">
        <f>SUM(AV21:AV25)</f>
        <v>112.48322147651008</v>
      </c>
      <c r="AW26" s="113">
        <f>SUM(AW21:AW25)</f>
        <v>75.570469798657712</v>
      </c>
      <c r="AY26" s="112">
        <f>SUM(AY21:AY25)</f>
        <v>-109.79865771812079</v>
      </c>
      <c r="AZ26" s="112">
        <f>SUM(AZ21:AZ25)</f>
        <v>-16.375838926174495</v>
      </c>
      <c r="BA26" s="112">
        <f>SUM(BA21:BA25)</f>
        <v>4.0268456375838895</v>
      </c>
      <c r="BB26" s="112">
        <f>SUM(BB21:BB25)</f>
        <v>77.449664429530202</v>
      </c>
      <c r="BC26" s="113">
        <f>SUM(BC21:BC25)</f>
        <v>-44.697986577181211</v>
      </c>
      <c r="BE26" s="112">
        <f>SUM(BE21:BE25)</f>
        <v>13.95973154362416</v>
      </c>
      <c r="BF26" s="112">
        <f>SUM(BF21:BF25)</f>
        <v>-0.13422818791946511</v>
      </c>
      <c r="BG26" s="112">
        <f>SUM(BG21:BG25)</f>
        <v>0.53691275167785535</v>
      </c>
      <c r="BH26" s="112">
        <f>SUM(BH21:BH25)</f>
        <v>136.37583892617451</v>
      </c>
      <c r="BI26" s="113">
        <f>SUM(BI21:BI25)</f>
        <v>150.73825503355704</v>
      </c>
      <c r="BK26" s="112">
        <f>SUM(BK21:BK25)</f>
        <v>-1.3422818791946298</v>
      </c>
      <c r="BL26" s="112">
        <f>SUM(BL21:BL25)</f>
        <v>-24.429530201342281</v>
      </c>
      <c r="BM26" s="112">
        <f>SUM(BM21:BM25)</f>
        <v>22.953020134228186</v>
      </c>
      <c r="BN26" s="112">
        <f>SUM(BN21:BN25)</f>
        <v>84.4</v>
      </c>
      <c r="BO26" s="113">
        <f>SUM(BO21:BO25)</f>
        <v>81.581208053691299</v>
      </c>
      <c r="BQ26" s="112">
        <f>SUM(BQ21:BQ25)</f>
        <v>-77.899000000000015</v>
      </c>
      <c r="BR26" s="112">
        <f>SUM(BR21:BR25)</f>
        <v>-24.900000000000002</v>
      </c>
      <c r="BS26" s="112">
        <f>SUM(BS21:BS25)</f>
        <v>11.100000000000001</v>
      </c>
      <c r="BT26" s="112">
        <f>SUM(BT21:BT25)</f>
        <v>251.89999999999998</v>
      </c>
      <c r="BU26" s="113">
        <f>SUM(BU21:BU25)</f>
        <v>160.20099999999999</v>
      </c>
      <c r="BW26" s="112">
        <f>SUM(BW21:BW25)</f>
        <v>-686.5</v>
      </c>
      <c r="BX26" s="112">
        <f>SUM(BX21:BX25)</f>
        <v>-135.1</v>
      </c>
      <c r="BY26" s="112">
        <f>SUM(BY21:BY25)</f>
        <v>15.300000000000002</v>
      </c>
      <c r="BZ26" s="199">
        <f>SUM(BZ21:BZ25)</f>
        <v>422.1</v>
      </c>
      <c r="CA26" s="113">
        <f>SUM(CA21:CA25)</f>
        <v>-384.20000000000005</v>
      </c>
      <c r="CC26" s="112">
        <f>SUM(CC21:CC25)</f>
        <v>-141.4</v>
      </c>
      <c r="CD26" s="112">
        <f>SUM(CD21:CD25)</f>
        <v>23</v>
      </c>
      <c r="CE26" s="112">
        <f>SUM(CE21:CE25)</f>
        <v>102.50000000000001</v>
      </c>
      <c r="CF26" s="199">
        <f>SUM(CF21:CF25)</f>
        <v>61.099999999999987</v>
      </c>
      <c r="CG26" s="113">
        <f>SUM(CG21:CG25)</f>
        <v>45.2</v>
      </c>
    </row>
    <row r="27" spans="1:85" s="116" customFormat="1" x14ac:dyDescent="0.2">
      <c r="G27" s="117"/>
      <c r="M27" s="117"/>
      <c r="S27" s="117"/>
      <c r="X27" s="118"/>
      <c r="Y27" s="117"/>
      <c r="AC27" s="118"/>
      <c r="AD27" s="118"/>
      <c r="AE27" s="117"/>
      <c r="AH27" s="118"/>
      <c r="AI27" s="118"/>
      <c r="AJ27" s="118"/>
      <c r="AK27" s="117"/>
      <c r="AN27" s="118"/>
      <c r="AO27" s="118"/>
      <c r="AP27" s="118"/>
      <c r="AQ27" s="117"/>
      <c r="AT27" s="118"/>
      <c r="AU27" s="118"/>
      <c r="AV27" s="118"/>
      <c r="AW27" s="117"/>
      <c r="AZ27" s="118"/>
      <c r="BA27" s="118"/>
      <c r="BB27" s="118"/>
      <c r="BC27" s="117"/>
      <c r="BF27" s="118"/>
      <c r="BG27" s="118"/>
      <c r="BH27" s="118"/>
      <c r="BI27" s="117"/>
      <c r="BL27" s="118"/>
      <c r="BM27" s="118"/>
      <c r="BN27" s="118"/>
      <c r="BO27" s="117"/>
      <c r="BR27" s="118"/>
      <c r="BS27" s="118"/>
      <c r="BT27" s="118"/>
      <c r="BU27" s="117"/>
      <c r="BX27" s="118"/>
      <c r="BY27" s="118"/>
      <c r="BZ27" s="200"/>
      <c r="CA27" s="117"/>
      <c r="CD27" s="118"/>
      <c r="CE27" s="118"/>
      <c r="CF27" s="200"/>
      <c r="CG27" s="117"/>
    </row>
    <row r="28" spans="1:85" x14ac:dyDescent="0.2">
      <c r="A28" s="15" t="s">
        <v>84</v>
      </c>
      <c r="G28" s="39"/>
      <c r="M28" s="39"/>
      <c r="S28" s="39"/>
      <c r="X28" s="16"/>
      <c r="Y28" s="39"/>
      <c r="AC28" s="16"/>
      <c r="AD28" s="16"/>
      <c r="AE28" s="39"/>
      <c r="AH28" s="16"/>
      <c r="AI28" s="16"/>
      <c r="AJ28" s="16"/>
      <c r="AK28" s="39"/>
      <c r="AN28" s="16"/>
      <c r="AO28" s="16"/>
      <c r="AP28" s="16"/>
      <c r="AQ28" s="39"/>
      <c r="AS28" s="15">
        <v>0</v>
      </c>
      <c r="AT28" s="16">
        <v>265.1006711409396</v>
      </c>
      <c r="AU28" s="16">
        <v>0</v>
      </c>
      <c r="AV28" s="16">
        <v>0.67114093959731547</v>
      </c>
      <c r="AW28" s="39">
        <f>SUM(AS28:AV28)</f>
        <v>265.7718120805369</v>
      </c>
      <c r="AZ28" s="16"/>
      <c r="BA28" s="16"/>
      <c r="BB28" s="16"/>
      <c r="BC28" s="39">
        <f>SUM(AY28:BB28)</f>
        <v>0</v>
      </c>
      <c r="BF28" s="16"/>
      <c r="BG28" s="16"/>
      <c r="BH28" s="16"/>
      <c r="BI28" s="39">
        <f>SUM(BE28:BH28)</f>
        <v>0</v>
      </c>
      <c r="BL28" s="16"/>
      <c r="BM28" s="16"/>
      <c r="BN28" s="16"/>
      <c r="BO28" s="39">
        <f>SUM(BK28:BN28)</f>
        <v>0</v>
      </c>
      <c r="BR28" s="16"/>
      <c r="BS28" s="16"/>
      <c r="BT28" s="16"/>
      <c r="BU28" s="39">
        <f>SUM(BQ28:BT28)</f>
        <v>0</v>
      </c>
      <c r="BX28" s="16"/>
      <c r="BY28" s="16"/>
      <c r="BZ28" s="17"/>
      <c r="CA28" s="39">
        <f>SUM(BW28:BZ28)</f>
        <v>0</v>
      </c>
      <c r="CD28" s="16"/>
      <c r="CE28" s="16"/>
      <c r="CF28" s="17"/>
      <c r="CG28" s="39">
        <f>SUM(CC28:CF28)</f>
        <v>0</v>
      </c>
    </row>
    <row r="29" spans="1:85" x14ac:dyDescent="0.2"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T29" s="16"/>
      <c r="AU29" s="16"/>
      <c r="AV29" s="16"/>
      <c r="AW29" s="39"/>
      <c r="AZ29" s="16"/>
      <c r="BA29" s="16"/>
      <c r="BB29" s="16"/>
      <c r="BC29" s="39"/>
      <c r="BF29" s="16"/>
      <c r="BG29" s="16"/>
      <c r="BH29" s="16"/>
      <c r="BI29" s="39"/>
      <c r="BL29" s="16"/>
      <c r="BM29" s="16"/>
      <c r="BN29" s="16"/>
      <c r="BO29" s="39"/>
      <c r="BR29" s="16"/>
      <c r="BS29" s="16"/>
      <c r="BT29" s="16"/>
      <c r="BU29" s="39"/>
      <c r="BX29" s="16"/>
      <c r="BY29" s="16"/>
      <c r="BZ29" s="17"/>
      <c r="CA29" s="39"/>
      <c r="CD29" s="16"/>
      <c r="CE29" s="16"/>
      <c r="CF29" s="17"/>
      <c r="CG29" s="39"/>
    </row>
    <row r="30" spans="1:85" x14ac:dyDescent="0.2">
      <c r="A30" s="15" t="s">
        <v>131</v>
      </c>
      <c r="C30" s="15">
        <v>-19.463087248322147</v>
      </c>
      <c r="D30" s="15">
        <f>C32</f>
        <v>-45.234899328859051</v>
      </c>
      <c r="E30" s="15">
        <f>D32</f>
        <v>-75.033557046979851</v>
      </c>
      <c r="F30" s="15">
        <f>E32</f>
        <v>-115.16778523489931</v>
      </c>
      <c r="G30" s="39">
        <f>C30</f>
        <v>-19.463087248322147</v>
      </c>
      <c r="I30" s="15">
        <f>F32</f>
        <v>-102.55033557046978</v>
      </c>
      <c r="J30" s="15">
        <f>I32</f>
        <v>-157.85234899328859</v>
      </c>
      <c r="K30" s="15">
        <f>J32</f>
        <v>-163.89261744966444</v>
      </c>
      <c r="L30" s="15">
        <f>K32</f>
        <v>-156.77852348993289</v>
      </c>
      <c r="M30" s="39">
        <f>I30</f>
        <v>-102.55033557046978</v>
      </c>
      <c r="O30" s="15">
        <f>L32</f>
        <v>-137.31543624161074</v>
      </c>
      <c r="P30" s="15">
        <f>+O32</f>
        <v>-266.71140939597319</v>
      </c>
      <c r="Q30" s="15">
        <f>+P32</f>
        <v>-311.27516778523494</v>
      </c>
      <c r="R30" s="15">
        <f>+Q32</f>
        <v>-309.53020134228194</v>
      </c>
      <c r="S30" s="39">
        <f>O30</f>
        <v>-137.31543624161074</v>
      </c>
      <c r="U30" s="15">
        <f>+S32</f>
        <v>-267.78523489932883</v>
      </c>
      <c r="V30" s="15">
        <f>+U32</f>
        <v>-297.31543624161071</v>
      </c>
      <c r="W30" s="15">
        <f>+V32</f>
        <v>-379.19463087248317</v>
      </c>
      <c r="X30" s="16">
        <f>+W32</f>
        <v>-378.65771812080533</v>
      </c>
      <c r="Y30" s="39">
        <f>U30</f>
        <v>-267.78523489932883</v>
      </c>
      <c r="AA30" s="15">
        <f>+Y32</f>
        <v>-303.35570469798654</v>
      </c>
      <c r="AB30" s="15">
        <f>+AA32</f>
        <v>-306.40268456375838</v>
      </c>
      <c r="AC30" s="16">
        <f>AB32</f>
        <v>-347.20805369127515</v>
      </c>
      <c r="AD30" s="16">
        <f>AC32</f>
        <v>-359.82550335570465</v>
      </c>
      <c r="AE30" s="39">
        <f>AA30</f>
        <v>-303.35570469798654</v>
      </c>
      <c r="AG30" s="15">
        <f>+AE32</f>
        <v>-365.73154362416102</v>
      </c>
      <c r="AH30" s="16">
        <f>+AG32</f>
        <v>-455.53020134228183</v>
      </c>
      <c r="AI30" s="16">
        <f>+AH32</f>
        <v>-508.68456375838923</v>
      </c>
      <c r="AJ30" s="16">
        <f>+AI32</f>
        <v>-556.20134228187908</v>
      </c>
      <c r="AK30" s="39">
        <f>AG30</f>
        <v>-365.73154362416102</v>
      </c>
      <c r="AM30" s="15">
        <f>+AJ32</f>
        <v>-550.96644295302008</v>
      </c>
      <c r="AN30" s="16">
        <f>+AM32</f>
        <v>-647.07382550335569</v>
      </c>
      <c r="AO30" s="16">
        <f>+AN32</f>
        <v>-663.04697986577185</v>
      </c>
      <c r="AP30" s="16">
        <f>+AO32</f>
        <v>-640.3624161073825</v>
      </c>
      <c r="AQ30" s="39">
        <f>AM30</f>
        <v>-550.96644295302008</v>
      </c>
      <c r="AS30" s="15">
        <f>+AP32</f>
        <v>-594.45637583892608</v>
      </c>
      <c r="AT30" s="16">
        <f>+AS32</f>
        <v>-602.77852348993281</v>
      </c>
      <c r="AU30" s="16">
        <f>+AT32</f>
        <v>-361.30201342281873</v>
      </c>
      <c r="AV30" s="16">
        <f>+AU32</f>
        <v>-369.22147651006702</v>
      </c>
      <c r="AW30" s="39">
        <f>AS30</f>
        <v>-594.45637583892608</v>
      </c>
      <c r="AY30" s="15">
        <f>+AV32</f>
        <v>-256.20134228187908</v>
      </c>
      <c r="AZ30" s="16">
        <f>+AY32</f>
        <v>-372.57718120805356</v>
      </c>
      <c r="BA30" s="16">
        <f>+AZ32</f>
        <v>-381.03355704697969</v>
      </c>
      <c r="BB30" s="16">
        <f>+BA32</f>
        <v>-369.48993288590589</v>
      </c>
      <c r="BC30" s="39">
        <f>AY30</f>
        <v>-256.20134228187908</v>
      </c>
      <c r="BE30" s="15">
        <f>+BB32</f>
        <v>-283.31543624161054</v>
      </c>
      <c r="BF30" s="16">
        <f>+BE32</f>
        <v>-268.28187919463068</v>
      </c>
      <c r="BG30" s="16">
        <f>+BF32</f>
        <v>-269.48993288590583</v>
      </c>
      <c r="BH30" s="16">
        <f>+BG32</f>
        <v>-284.38926174496623</v>
      </c>
      <c r="BI30" s="39">
        <f>BE30</f>
        <v>-283.31543624161054</v>
      </c>
      <c r="BK30" s="15">
        <f>+BH32</f>
        <v>-152.30872483221455</v>
      </c>
      <c r="BL30" s="16">
        <f>+BK32</f>
        <v>-177.40939597315418</v>
      </c>
      <c r="BM30" s="16">
        <f>+BL32</f>
        <v>-192.97986577181189</v>
      </c>
      <c r="BN30" s="16">
        <f>+BM32</f>
        <v>-167.47651006711391</v>
      </c>
      <c r="BO30" s="39">
        <f>BK30</f>
        <v>-152.30872483221455</v>
      </c>
      <c r="BQ30" s="15">
        <f>+BN32</f>
        <v>-88.876510067113898</v>
      </c>
      <c r="BR30" s="16">
        <f>+BQ32</f>
        <v>-158.87551006711391</v>
      </c>
      <c r="BS30" s="16">
        <f>+BR32</f>
        <v>-188.17551006711392</v>
      </c>
      <c r="BT30" s="16">
        <f>+BS32</f>
        <v>-174.57551006711392</v>
      </c>
      <c r="BU30" s="39">
        <f>BQ30</f>
        <v>-88.876510067113898</v>
      </c>
      <c r="BW30" s="15">
        <f>+BT32</f>
        <v>68.424489932886047</v>
      </c>
      <c r="BX30" s="16">
        <f>+BW32</f>
        <v>-616.77551006711406</v>
      </c>
      <c r="BY30" s="16">
        <f>+BX32</f>
        <v>-742.27551006711406</v>
      </c>
      <c r="BZ30" s="17">
        <f>+BY32</f>
        <v>-720.07551006711412</v>
      </c>
      <c r="CA30" s="39">
        <f>BW30</f>
        <v>68.424489932886047</v>
      </c>
      <c r="CC30" s="15">
        <f>+BZ32</f>
        <v>-293.17551006711409</v>
      </c>
      <c r="CD30" s="16">
        <f>+CC32</f>
        <v>-432.67551006711415</v>
      </c>
      <c r="CE30" s="16">
        <f>+CD32</f>
        <v>-409.47551006711416</v>
      </c>
      <c r="CF30" s="17">
        <f>+CE32</f>
        <v>-307.47551006711416</v>
      </c>
      <c r="CG30" s="39">
        <f>CC30</f>
        <v>-293.17551006711409</v>
      </c>
    </row>
    <row r="31" spans="1:85" s="96" customFormat="1" ht="18.75" customHeight="1" x14ac:dyDescent="0.2">
      <c r="A31" s="15" t="s">
        <v>130</v>
      </c>
      <c r="B31" s="15"/>
      <c r="C31" s="15">
        <v>-2.1476510067114094</v>
      </c>
      <c r="D31" s="15">
        <v>-2.5503355704697985</v>
      </c>
      <c r="E31" s="15">
        <v>-1.0738255033557047</v>
      </c>
      <c r="F31" s="15">
        <v>-0.26845637583892618</v>
      </c>
      <c r="G31" s="39">
        <f>SUM(C31:F31)</f>
        <v>-6.0402684563758386</v>
      </c>
      <c r="H31" s="15"/>
      <c r="I31" s="15">
        <v>-2.2818791946308723</v>
      </c>
      <c r="J31" s="15">
        <v>0.13422818791946309</v>
      </c>
      <c r="K31" s="15">
        <v>-0.40268456375838924</v>
      </c>
      <c r="L31" s="15">
        <v>4.5637583892617446</v>
      </c>
      <c r="M31" s="39">
        <f>SUM(I31:L31)</f>
        <v>2.0134228187919461</v>
      </c>
      <c r="N31" s="15"/>
      <c r="O31" s="15">
        <v>1.0738255033557047</v>
      </c>
      <c r="P31" s="15">
        <v>-0.80536912751677847</v>
      </c>
      <c r="Q31" s="15">
        <v>-0.40268456375838924</v>
      </c>
      <c r="R31" s="15">
        <v>-2.2818791946308723</v>
      </c>
      <c r="S31" s="39">
        <f>SUM(O31:R31)</f>
        <v>-2.4161073825503352</v>
      </c>
      <c r="T31" s="15"/>
      <c r="U31" s="15">
        <v>-5.1006711409395971</v>
      </c>
      <c r="V31" s="15">
        <v>-7.1140939597315436</v>
      </c>
      <c r="W31" s="15">
        <v>4.5637583892617446</v>
      </c>
      <c r="X31" s="16">
        <v>6.9798657718120802</v>
      </c>
      <c r="Y31" s="39">
        <f>SUM(U31:X31)</f>
        <v>-0.6711409395973158</v>
      </c>
      <c r="Z31" s="15"/>
      <c r="AA31" s="15">
        <v>2.0134228187919461</v>
      </c>
      <c r="AB31" s="17">
        <v>-3.8926174496644292</v>
      </c>
      <c r="AC31" s="16">
        <v>-1.8791946308724832</v>
      </c>
      <c r="AD31" s="16">
        <v>1.2080536912751678</v>
      </c>
      <c r="AE31" s="39">
        <f>SUM(AA31:AD31)</f>
        <v>-2.5503355704697985</v>
      </c>
      <c r="AG31" s="15">
        <v>-5.5033557046979862</v>
      </c>
      <c r="AH31" s="16">
        <v>0.13422818791946309</v>
      </c>
      <c r="AI31" s="16">
        <v>-2.8187919463087248</v>
      </c>
      <c r="AJ31" s="16">
        <v>0.93959731543624159</v>
      </c>
      <c r="AK31" s="39">
        <f>SUM(AG31:AJ31)</f>
        <v>-7.248322147651006</v>
      </c>
      <c r="AM31" s="15">
        <v>2.1476510067114094</v>
      </c>
      <c r="AN31" s="16">
        <v>-0.40268456375838924</v>
      </c>
      <c r="AO31" s="16">
        <v>-4.6979865771812079</v>
      </c>
      <c r="AP31" s="16">
        <v>-0.67114093959731547</v>
      </c>
      <c r="AQ31" s="39">
        <f>SUM(AM31:AP31)</f>
        <v>-3.624161073825503</v>
      </c>
      <c r="AS31" s="15">
        <v>3.2214765100671139</v>
      </c>
      <c r="AT31" s="16">
        <v>-9.9328859060402674</v>
      </c>
      <c r="AU31" s="16">
        <v>3.7583892617449663</v>
      </c>
      <c r="AV31" s="16">
        <v>-0.13422818791946309</v>
      </c>
      <c r="AW31" s="39">
        <f>SUM(AS31:AV31)</f>
        <v>-3.0872483221476501</v>
      </c>
      <c r="AY31" s="15">
        <v>-6.5771812080536911</v>
      </c>
      <c r="AZ31" s="16">
        <v>7.9194630872483218</v>
      </c>
      <c r="BA31" s="16">
        <v>7.5167785234899327</v>
      </c>
      <c r="BB31" s="16">
        <v>8.724832214765101</v>
      </c>
      <c r="BC31" s="39">
        <f>SUM(AY31:BB31)</f>
        <v>17.583892617449663</v>
      </c>
      <c r="BE31" s="15">
        <v>1.0738255033557047</v>
      </c>
      <c r="BF31" s="16">
        <v>-1.0738255033557047</v>
      </c>
      <c r="BG31" s="16">
        <v>-15.436241610738255</v>
      </c>
      <c r="BH31" s="16">
        <v>-4.2953020134228188</v>
      </c>
      <c r="BI31" s="39">
        <f>SUM(BE31:BH31)</f>
        <v>-19.731543624161073</v>
      </c>
      <c r="BK31" s="15">
        <v>-23.758389261744966</v>
      </c>
      <c r="BL31" s="16">
        <v>8.8590604026845643</v>
      </c>
      <c r="BM31" s="16">
        <v>2.5503355704697985</v>
      </c>
      <c r="BN31" s="16">
        <v>-5.8</v>
      </c>
      <c r="BO31" s="39">
        <f>SUM(BK31:BN31)</f>
        <v>-18.148993288590603</v>
      </c>
      <c r="BQ31" s="15">
        <v>7.9</v>
      </c>
      <c r="BR31" s="16">
        <v>-4.4000000000000004</v>
      </c>
      <c r="BS31" s="16">
        <v>2.5</v>
      </c>
      <c r="BT31" s="16">
        <v>-8.9</v>
      </c>
      <c r="BU31" s="39">
        <f>SUM(BQ31:BT31)</f>
        <v>-2.9000000000000004</v>
      </c>
      <c r="BW31" s="15">
        <v>1.3</v>
      </c>
      <c r="BX31" s="16">
        <v>9.6</v>
      </c>
      <c r="BY31" s="16">
        <v>6.9</v>
      </c>
      <c r="BZ31" s="17">
        <v>4.8</v>
      </c>
      <c r="CA31" s="39">
        <f>SUM(BW31:BZ31)</f>
        <v>22.6</v>
      </c>
      <c r="CC31" s="15">
        <v>1.9</v>
      </c>
      <c r="CD31" s="16">
        <v>0.2</v>
      </c>
      <c r="CE31" s="16">
        <v>-0.5</v>
      </c>
      <c r="CF31" s="17">
        <v>-1.9</v>
      </c>
      <c r="CG31" s="39">
        <f>SUM(CC31:CF31)</f>
        <v>-0.29999999999999982</v>
      </c>
    </row>
    <row r="32" spans="1:85" s="183" customFormat="1" x14ac:dyDescent="0.2">
      <c r="A32" s="181" t="s">
        <v>132</v>
      </c>
      <c r="B32" s="181"/>
      <c r="C32" s="181">
        <f>SUM(C26:C31)</f>
        <v>-45.234899328859051</v>
      </c>
      <c r="D32" s="181">
        <f>SUM(D26:D31)</f>
        <v>-75.033557046979851</v>
      </c>
      <c r="E32" s="181">
        <f>SUM(E26:E31)</f>
        <v>-115.16778523489931</v>
      </c>
      <c r="F32" s="181">
        <f>SUM(F26:F31)</f>
        <v>-102.55033557046978</v>
      </c>
      <c r="G32" s="182">
        <f>SUM(G26:G31)</f>
        <v>-102.55033557046981</v>
      </c>
      <c r="H32" s="181"/>
      <c r="I32" s="181">
        <f>SUM(I26:I31)</f>
        <v>-157.85234899328859</v>
      </c>
      <c r="J32" s="181">
        <f>SUM(J26:J31)</f>
        <v>-163.89261744966444</v>
      </c>
      <c r="K32" s="181">
        <f>SUM(K26:K31)</f>
        <v>-156.77852348993289</v>
      </c>
      <c r="L32" s="181">
        <f>SUM(L26:L31)</f>
        <v>-137.31543624161074</v>
      </c>
      <c r="M32" s="182">
        <f>SUM(M26:M31)</f>
        <v>-137.31543624161071</v>
      </c>
      <c r="N32" s="181"/>
      <c r="O32" s="181">
        <f>SUM(O26:O31)</f>
        <v>-266.71140939597319</v>
      </c>
      <c r="P32" s="181">
        <f>SUM(P26:P31)</f>
        <v>-311.27516778523494</v>
      </c>
      <c r="Q32" s="181">
        <f>SUM(Q26:Q31)</f>
        <v>-309.53020134228194</v>
      </c>
      <c r="R32" s="181">
        <f>SUM(R26:R31)</f>
        <v>-267.78523489932888</v>
      </c>
      <c r="S32" s="182">
        <f>SUM(S26:S31)</f>
        <v>-267.78523489932883</v>
      </c>
      <c r="T32" s="181"/>
      <c r="U32" s="181">
        <f>SUM(U26:U31)</f>
        <v>-297.31543624161071</v>
      </c>
      <c r="V32" s="181">
        <f>SUM(V26:V31)</f>
        <v>-379.19463087248317</v>
      </c>
      <c r="W32" s="181">
        <f>SUM(W26:W31)</f>
        <v>-378.65771812080533</v>
      </c>
      <c r="X32" s="181">
        <f>SUM(X26:X31)</f>
        <v>-303.35570469798654</v>
      </c>
      <c r="Y32" s="182">
        <f>SUM(Y26:Y31)</f>
        <v>-303.35570469798654</v>
      </c>
      <c r="Z32" s="181"/>
      <c r="AA32" s="181">
        <f>SUM(AA26:AA31)</f>
        <v>-306.40268456375838</v>
      </c>
      <c r="AB32" s="181">
        <f>SUM(AB26:AB31)</f>
        <v>-347.20805369127515</v>
      </c>
      <c r="AC32" s="181">
        <f>SUM(AC26:AC31)</f>
        <v>-359.82550335570465</v>
      </c>
      <c r="AD32" s="181">
        <f>SUM(AD26:AD31)</f>
        <v>-365.73154362416108</v>
      </c>
      <c r="AE32" s="182">
        <f>SUM(AE26:AE31)</f>
        <v>-365.73154362416102</v>
      </c>
      <c r="AG32" s="181">
        <f>SUM(AG26:AG31)</f>
        <v>-455.53020134228183</v>
      </c>
      <c r="AH32" s="184">
        <f>SUM(AH26:AH31)</f>
        <v>-508.68456375838923</v>
      </c>
      <c r="AI32" s="181">
        <f>SUM(AI26:AI31)</f>
        <v>-556.20134228187908</v>
      </c>
      <c r="AJ32" s="181">
        <f>SUM(AJ26:AJ31)</f>
        <v>-550.96644295302008</v>
      </c>
      <c r="AK32" s="182">
        <f>SUM(AK26:AK31)</f>
        <v>-550.96644295302008</v>
      </c>
      <c r="AM32" s="181">
        <f>SUM(AM26:AM31)</f>
        <v>-647.07382550335569</v>
      </c>
      <c r="AN32" s="184">
        <f>SUM(AN26:AN31)</f>
        <v>-663.04697986577185</v>
      </c>
      <c r="AO32" s="181">
        <f>SUM(AO26:AO31)</f>
        <v>-640.3624161073825</v>
      </c>
      <c r="AP32" s="181">
        <f>SUM(AP26:AP31)</f>
        <v>-594.45637583892608</v>
      </c>
      <c r="AQ32" s="182">
        <f>SUM(AQ26:AQ31)</f>
        <v>-594.45637583892608</v>
      </c>
      <c r="AS32" s="181">
        <f>SUM(AS26:AS31)</f>
        <v>-602.77852348993281</v>
      </c>
      <c r="AT32" s="184">
        <f>SUM(AT26:AT31)</f>
        <v>-361.30201342281873</v>
      </c>
      <c r="AU32" s="181">
        <f>SUM(AU26:AU31)</f>
        <v>-369.22147651006702</v>
      </c>
      <c r="AV32" s="181">
        <f>SUM(AV26:AV31)</f>
        <v>-256.20134228187908</v>
      </c>
      <c r="AW32" s="182">
        <f>SUM(AW26:AW31)</f>
        <v>-256.20134228187914</v>
      </c>
      <c r="AY32" s="181">
        <f>SUM(AY26:AY31)</f>
        <v>-372.57718120805356</v>
      </c>
      <c r="AZ32" s="181">
        <f>SUM(AZ26:AZ31)</f>
        <v>-381.03355704697969</v>
      </c>
      <c r="BA32" s="181">
        <f>SUM(BA26:BA31)</f>
        <v>-369.48993288590589</v>
      </c>
      <c r="BB32" s="181">
        <f>SUM(BB26:BB31)</f>
        <v>-283.31543624161054</v>
      </c>
      <c r="BC32" s="182">
        <f>SUM(BC26:BC31)</f>
        <v>-283.31543624161066</v>
      </c>
      <c r="BE32" s="181">
        <f>SUM(BE26:BE31)</f>
        <v>-268.28187919463068</v>
      </c>
      <c r="BF32" s="181">
        <f>SUM(BF26:BF31)</f>
        <v>-269.48993288590583</v>
      </c>
      <c r="BG32" s="181">
        <f>SUM(BG26:BG31)</f>
        <v>-284.38926174496623</v>
      </c>
      <c r="BH32" s="181">
        <f>SUM(BH26:BH31)</f>
        <v>-152.30872483221455</v>
      </c>
      <c r="BI32" s="182">
        <f>SUM(BI26:BI31)</f>
        <v>-152.30872483221458</v>
      </c>
      <c r="BK32" s="181">
        <f>SUM(BK26:BK31)</f>
        <v>-177.40939597315418</v>
      </c>
      <c r="BL32" s="181">
        <f>SUM(BL26:BL31)</f>
        <v>-192.97986577181189</v>
      </c>
      <c r="BM32" s="181">
        <f>SUM(BM26:BM31)</f>
        <v>-167.47651006711391</v>
      </c>
      <c r="BN32" s="181">
        <f>SUM(BN26:BN31)</f>
        <v>-88.876510067113898</v>
      </c>
      <c r="BO32" s="182">
        <f>SUM(BO26:BO31)</f>
        <v>-88.876510067113855</v>
      </c>
      <c r="BQ32" s="181">
        <f>SUM(BQ26:BQ31)</f>
        <v>-158.87551006711391</v>
      </c>
      <c r="BR32" s="181">
        <f>SUM(BR26:BR31)</f>
        <v>-188.17551006711392</v>
      </c>
      <c r="BS32" s="181">
        <f>SUM(BS26:BS31)</f>
        <v>-174.57551006711392</v>
      </c>
      <c r="BT32" s="181">
        <f>SUM(BT26:BT31)</f>
        <v>68.424489932886047</v>
      </c>
      <c r="BU32" s="182">
        <f>SUM(BU26:BU31)</f>
        <v>68.42448993288609</v>
      </c>
      <c r="BW32" s="181">
        <f>SUM(BW26:BW31)</f>
        <v>-616.77551006711406</v>
      </c>
      <c r="BX32" s="181">
        <f>SUM(BX26:BX31)</f>
        <v>-742.27551006711406</v>
      </c>
      <c r="BY32" s="181">
        <f>SUM(BY26:BY31)</f>
        <v>-720.07551006711412</v>
      </c>
      <c r="BZ32" s="181">
        <f>SUM(BZ26:BZ31)</f>
        <v>-293.17551006711409</v>
      </c>
      <c r="CA32" s="182">
        <f>SUM(CA26:CA31)</f>
        <v>-293.17551006711398</v>
      </c>
      <c r="CC32" s="181">
        <f>SUM(CC26:CC31)</f>
        <v>-432.67551006711415</v>
      </c>
      <c r="CD32" s="181">
        <f>SUM(CD26:CD31)</f>
        <v>-409.47551006711416</v>
      </c>
      <c r="CE32" s="181">
        <f>SUM(CE26:CE31)</f>
        <v>-307.47551006711416</v>
      </c>
      <c r="CF32" s="181">
        <f>SUM(CF26:CF31)</f>
        <v>-248.27551006711417</v>
      </c>
      <c r="CG32" s="182">
        <f>SUM(CG26:CG31)</f>
        <v>-248.27551006711411</v>
      </c>
    </row>
    <row r="33" spans="7:37" s="104" customFormat="1" x14ac:dyDescent="0.2">
      <c r="G33" s="151"/>
      <c r="M33" s="151"/>
      <c r="S33" s="151"/>
      <c r="Y33" s="151"/>
      <c r="AE33" s="151"/>
      <c r="AH33" s="111"/>
      <c r="AK33" s="151"/>
    </row>
  </sheetData>
  <mergeCells count="30">
    <mergeCell ref="CC1:CG1"/>
    <mergeCell ref="CC2:CG2"/>
    <mergeCell ref="CC3:CG3"/>
    <mergeCell ref="I1:M1"/>
    <mergeCell ref="O1:S1"/>
    <mergeCell ref="O3:S3"/>
    <mergeCell ref="U1:Y1"/>
    <mergeCell ref="U3:Y3"/>
    <mergeCell ref="AS1:AW1"/>
    <mergeCell ref="AS3:AW3"/>
    <mergeCell ref="AY1:BC1"/>
    <mergeCell ref="BQ1:BU1"/>
    <mergeCell ref="BQ3:BU3"/>
    <mergeCell ref="AY3:BC3"/>
    <mergeCell ref="BW2:CA2"/>
    <mergeCell ref="BW1:CA1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1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M86"/>
  <sheetViews>
    <sheetView showGridLines="0" tabSelected="1" zoomScaleNormal="100" workbookViewId="0">
      <pane xSplit="2" ySplit="3" topLeftCell="BH59" activePane="bottomRight" state="frozen"/>
      <selection activeCell="BW54" sqref="BW54"/>
      <selection pane="topRight" activeCell="BW54" sqref="BW54"/>
      <selection pane="bottomLeft" activeCell="BW54" sqref="BW54"/>
      <selection pane="bottomRight" activeCell="BL88" sqref="BL88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16384" width="9.140625" style="2"/>
  </cols>
  <sheetData>
    <row r="1" spans="1:221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3" t="s">
        <v>174</v>
      </c>
      <c r="BX1" s="243"/>
      <c r="BY1" s="243"/>
      <c r="BZ1" s="243"/>
      <c r="CA1" s="243"/>
      <c r="CC1" s="243"/>
      <c r="CD1" s="243"/>
      <c r="CE1" s="243"/>
      <c r="CF1" s="243"/>
      <c r="CG1" s="243"/>
    </row>
    <row r="2" spans="1:221" x14ac:dyDescent="0.2">
      <c r="A2" s="1" t="s">
        <v>162</v>
      </c>
      <c r="C2" s="242">
        <v>2005</v>
      </c>
      <c r="D2" s="242"/>
      <c r="E2" s="242"/>
      <c r="F2" s="242"/>
      <c r="G2" s="242"/>
      <c r="I2" s="242">
        <v>2006</v>
      </c>
      <c r="J2" s="242"/>
      <c r="K2" s="242"/>
      <c r="L2" s="242"/>
      <c r="M2" s="242"/>
      <c r="O2" s="242">
        <v>2007</v>
      </c>
      <c r="P2" s="242"/>
      <c r="Q2" s="242"/>
      <c r="R2" s="242"/>
      <c r="S2" s="242"/>
      <c r="U2" s="242">
        <v>2008</v>
      </c>
      <c r="V2" s="242"/>
      <c r="W2" s="242"/>
      <c r="X2" s="242"/>
      <c r="Y2" s="242"/>
      <c r="AA2" s="242">
        <v>2009</v>
      </c>
      <c r="AB2" s="242"/>
      <c r="AC2" s="242"/>
      <c r="AD2" s="242"/>
      <c r="AE2" s="242"/>
      <c r="AG2" s="242">
        <v>2010</v>
      </c>
      <c r="AH2" s="242"/>
      <c r="AI2" s="242"/>
      <c r="AJ2" s="242"/>
      <c r="AK2" s="242"/>
      <c r="AM2" s="242">
        <v>2011</v>
      </c>
      <c r="AN2" s="242"/>
      <c r="AO2" s="242"/>
      <c r="AP2" s="242"/>
      <c r="AQ2" s="242"/>
      <c r="AS2" s="242">
        <v>2012</v>
      </c>
      <c r="AT2" s="242"/>
      <c r="AU2" s="242"/>
      <c r="AV2" s="242"/>
      <c r="AW2" s="242"/>
      <c r="AY2" s="242">
        <v>2013</v>
      </c>
      <c r="AZ2" s="242"/>
      <c r="BA2" s="242"/>
      <c r="BB2" s="242"/>
      <c r="BC2" s="242"/>
      <c r="BE2" s="242">
        <v>2014</v>
      </c>
      <c r="BF2" s="242"/>
      <c r="BG2" s="242"/>
      <c r="BH2" s="242"/>
      <c r="BI2" s="242"/>
      <c r="BK2" s="242">
        <v>2015</v>
      </c>
      <c r="BL2" s="242"/>
      <c r="BM2" s="242"/>
      <c r="BN2" s="242"/>
      <c r="BO2" s="242"/>
      <c r="BQ2" s="242">
        <v>2016</v>
      </c>
      <c r="BR2" s="242"/>
      <c r="BS2" s="242"/>
      <c r="BT2" s="242"/>
      <c r="BU2" s="242"/>
      <c r="BW2" s="242">
        <v>2017</v>
      </c>
      <c r="BX2" s="242"/>
      <c r="BY2" s="242"/>
      <c r="BZ2" s="242"/>
      <c r="CA2" s="242"/>
      <c r="CC2" s="242">
        <v>2018</v>
      </c>
      <c r="CD2" s="242"/>
      <c r="CE2" s="242"/>
      <c r="CF2" s="242"/>
      <c r="CG2" s="242"/>
    </row>
    <row r="3" spans="1:221" s="170" customFormat="1" x14ac:dyDescent="0.2">
      <c r="A3" s="169" t="s">
        <v>113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</row>
    <row r="6" spans="1:221" x14ac:dyDescent="0.2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</row>
    <row r="7" spans="1:221" x14ac:dyDescent="0.2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</row>
    <row r="8" spans="1:221" hidden="1" x14ac:dyDescent="0.2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</row>
    <row r="9" spans="1:221" hidden="1" x14ac:dyDescent="0.2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</row>
    <row r="10" spans="1:221" x14ac:dyDescent="0.2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</row>
    <row r="11" spans="1:221" hidden="1" x14ac:dyDescent="0.2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</row>
    <row r="12" spans="1:221" x14ac:dyDescent="0.2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</row>
    <row r="15" spans="1:221" s="5" customFormat="1" ht="11.1" customHeight="1" x14ac:dyDescent="0.2">
      <c r="A15" s="2" t="s">
        <v>156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HH15" s="27"/>
    </row>
    <row r="16" spans="1:221" s="49" customFormat="1" ht="18.75" customHeight="1" x14ac:dyDescent="0.2">
      <c r="A16" s="49" t="s">
        <v>86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HM16" s="50" t="s">
        <v>51</v>
      </c>
    </row>
    <row r="17" spans="1:85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</row>
    <row r="18" spans="1:85" x14ac:dyDescent="0.2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</row>
    <row r="19" spans="1:85" x14ac:dyDescent="0.2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</row>
    <row r="20" spans="1:85" x14ac:dyDescent="0.2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</row>
    <row r="21" spans="1:85" x14ac:dyDescent="0.2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</row>
    <row r="22" spans="1:85" x14ac:dyDescent="0.2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</row>
    <row r="23" spans="1:85" x14ac:dyDescent="0.2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</row>
    <row r="24" spans="1:85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</row>
    <row r="25" spans="1:85" s="60" customFormat="1" ht="18.75" customHeight="1" x14ac:dyDescent="0.2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</row>
    <row r="26" spans="1:85" ht="18.75" customHeight="1" x14ac:dyDescent="0.2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</row>
    <row r="27" spans="1:85" ht="18.75" customHeight="1" x14ac:dyDescent="0.2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</row>
    <row r="28" spans="1:85" ht="18.75" customHeight="1" x14ac:dyDescent="0.2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144</v>
      </c>
      <c r="BR28" s="150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144</v>
      </c>
      <c r="BX28" s="28">
        <f>+BX22/BX10</f>
        <v>6.25E-2</v>
      </c>
      <c r="BY28" s="150" t="s">
        <v>144</v>
      </c>
      <c r="BZ28" s="28">
        <f>+BZ22/BZ10</f>
        <v>0.27142857142857146</v>
      </c>
      <c r="CA28" s="197">
        <f>+CA22/CA10</f>
        <v>6.8762278978389005E-2</v>
      </c>
      <c r="CC28" s="150" t="s">
        <v>144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7">
        <f>+CG22/CG10</f>
        <v>0.13293943870014771</v>
      </c>
    </row>
    <row r="29" spans="1:85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</row>
    <row r="30" spans="1:85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</row>
    <row r="31" spans="1:85" x14ac:dyDescent="0.2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</row>
    <row r="32" spans="1:85" x14ac:dyDescent="0.2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4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5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6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7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18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19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0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1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2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3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4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5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</row>
    <row r="33" spans="1:216" hidden="1" x14ac:dyDescent="0.2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4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5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6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7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18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19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0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1"/>
        <v>0</v>
      </c>
      <c r="AX33" s="31"/>
      <c r="AY33" s="31"/>
      <c r="AZ33" s="31"/>
      <c r="BA33" s="31"/>
      <c r="BB33" s="122"/>
      <c r="BC33" s="75">
        <f t="shared" si="22"/>
        <v>0</v>
      </c>
      <c r="BD33" s="31"/>
      <c r="BE33" s="31"/>
      <c r="BF33" s="31"/>
      <c r="BG33" s="31"/>
      <c r="BH33" s="122"/>
      <c r="BI33" s="75">
        <f t="shared" si="23"/>
        <v>0</v>
      </c>
      <c r="BJ33" s="31"/>
      <c r="BK33" s="31"/>
      <c r="BL33" s="31"/>
      <c r="BM33" s="31"/>
      <c r="BN33" s="122"/>
      <c r="BO33" s="75">
        <f t="shared" si="24"/>
        <v>0</v>
      </c>
      <c r="BP33" s="31"/>
      <c r="BQ33" s="31"/>
      <c r="BR33" s="31"/>
      <c r="BS33" s="31"/>
      <c r="BT33" s="122"/>
      <c r="BU33" s="75">
        <f t="shared" si="25"/>
        <v>0</v>
      </c>
      <c r="BV33" s="31"/>
      <c r="BW33" s="31"/>
      <c r="BX33" s="31"/>
      <c r="BY33" s="31"/>
      <c r="BZ33" s="122"/>
      <c r="CA33" s="75">
        <f t="shared" ref="CA33:CA36" si="26">SUM(BW33:BZ33)</f>
        <v>0</v>
      </c>
      <c r="CB33" s="31"/>
      <c r="CC33" s="31"/>
      <c r="CD33" s="31"/>
      <c r="CE33" s="31"/>
      <c r="CF33" s="122"/>
      <c r="CG33" s="75">
        <f t="shared" ref="CG33:CG37" si="27">SUM(CC33:CF33)</f>
        <v>0</v>
      </c>
    </row>
    <row r="34" spans="1:216" x14ac:dyDescent="0.2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4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5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6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7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18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19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0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1"/>
        <v>0</v>
      </c>
      <c r="AX34" s="31"/>
      <c r="AY34" s="136"/>
      <c r="AZ34" s="136"/>
      <c r="BA34" s="31"/>
      <c r="BB34" s="122"/>
      <c r="BC34" s="75">
        <f t="shared" si="22"/>
        <v>0</v>
      </c>
      <c r="BD34" s="31"/>
      <c r="BE34" s="136"/>
      <c r="BF34" s="136"/>
      <c r="BG34" s="31"/>
      <c r="BH34" s="122"/>
      <c r="BI34" s="75">
        <f t="shared" si="23"/>
        <v>0</v>
      </c>
      <c r="BJ34" s="31"/>
      <c r="BK34" s="136"/>
      <c r="BL34" s="136"/>
      <c r="BM34" s="31"/>
      <c r="BN34" s="122"/>
      <c r="BO34" s="75">
        <f t="shared" si="24"/>
        <v>0</v>
      </c>
      <c r="BP34" s="31"/>
      <c r="BQ34" s="136"/>
      <c r="BR34" s="136"/>
      <c r="BS34" s="31"/>
      <c r="BT34" s="122"/>
      <c r="BU34" s="75">
        <f t="shared" si="25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7"/>
        <v>0</v>
      </c>
    </row>
    <row r="35" spans="1:216" x14ac:dyDescent="0.2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4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5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6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7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18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19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0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1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2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3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4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5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7"/>
        <v>9</v>
      </c>
    </row>
    <row r="36" spans="1:216" hidden="1" x14ac:dyDescent="0.2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4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5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6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7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18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19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0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1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2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3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4"/>
        <v>0</v>
      </c>
      <c r="BP36" s="31"/>
      <c r="BQ36" s="31">
        <v>0</v>
      </c>
      <c r="BR36" s="31"/>
      <c r="BS36" s="31"/>
      <c r="BT36" s="122"/>
      <c r="BU36" s="75">
        <f t="shared" si="25"/>
        <v>0</v>
      </c>
      <c r="BV36" s="31"/>
      <c r="BW36" s="31">
        <v>0</v>
      </c>
      <c r="BX36" s="31"/>
      <c r="BY36" s="31"/>
      <c r="BZ36" s="122"/>
      <c r="CA36" s="75">
        <f t="shared" si="26"/>
        <v>0</v>
      </c>
      <c r="CB36" s="31"/>
      <c r="CC36" s="31">
        <v>0</v>
      </c>
      <c r="CD36" s="31"/>
      <c r="CE36" s="31"/>
      <c r="CF36" s="122"/>
      <c r="CG36" s="75">
        <f t="shared" si="27"/>
        <v>0</v>
      </c>
    </row>
    <row r="37" spans="1:216" x14ac:dyDescent="0.2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4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5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6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7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18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19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0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1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2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3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4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5"/>
        <v>-4.5999999999999996</v>
      </c>
      <c r="BV37" s="31"/>
      <c r="BW37" s="31">
        <v>0</v>
      </c>
      <c r="BX37" s="31">
        <v>0</v>
      </c>
      <c r="BY37" s="31">
        <v>0</v>
      </c>
      <c r="BZ37" s="122"/>
      <c r="CA37" s="75">
        <f>SUM(BW37:BZ37)</f>
        <v>0</v>
      </c>
      <c r="CB37" s="31"/>
      <c r="CC37" s="31">
        <v>0</v>
      </c>
      <c r="CD37" s="31">
        <v>0</v>
      </c>
      <c r="CE37" s="31"/>
      <c r="CF37" s="122"/>
      <c r="CG37" s="75">
        <f t="shared" si="27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</row>
    <row r="39" spans="1:216" s="63" customFormat="1" ht="18.75" customHeight="1" x14ac:dyDescent="0.2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</row>
    <row r="40" spans="1:216" s="5" customFormat="1" ht="18.75" customHeight="1" x14ac:dyDescent="0.2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HH40" s="27"/>
    </row>
    <row r="41" spans="1:216" s="5" customFormat="1" ht="18.75" customHeight="1" x14ac:dyDescent="0.2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HH41" s="27"/>
    </row>
    <row r="42" spans="1:216" s="5" customFormat="1" ht="18.75" customHeight="1" x14ac:dyDescent="0.2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</row>
    <row r="45" spans="1:216" hidden="1" x14ac:dyDescent="0.2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</row>
    <row r="46" spans="1:216" hidden="1" x14ac:dyDescent="0.2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</row>
    <row r="47" spans="1:216" hidden="1" x14ac:dyDescent="0.2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</row>
    <row r="48" spans="1:216" hidden="1" x14ac:dyDescent="0.2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</row>
    <row r="49" spans="1:216" hidden="1" x14ac:dyDescent="0.2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</row>
    <row r="50" spans="1:216" hidden="1" x14ac:dyDescent="0.2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</row>
    <row r="51" spans="1:216" hidden="1" x14ac:dyDescent="0.2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HH52" s="26"/>
    </row>
    <row r="53" spans="1:216" s="5" customFormat="1" ht="18.75" hidden="1" customHeight="1" x14ac:dyDescent="0.2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HH53" s="27"/>
    </row>
    <row r="54" spans="1:216" s="5" customFormat="1" ht="18.75" hidden="1" customHeight="1" x14ac:dyDescent="0.2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HH54" s="27"/>
    </row>
    <row r="55" spans="1:216" s="5" customFormat="1" ht="18.75" hidden="1" customHeight="1" x14ac:dyDescent="0.2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HH55" s="27"/>
    </row>
    <row r="56" spans="1:216" s="5" customFormat="1" ht="18.75" hidden="1" customHeight="1" x14ac:dyDescent="0.2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</row>
    <row r="61" spans="1:216" x14ac:dyDescent="0.2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</row>
    <row r="62" spans="1:216" x14ac:dyDescent="0.2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28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29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0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1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2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3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4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5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6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37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38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39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</row>
    <row r="63" spans="1:216" hidden="1" x14ac:dyDescent="0.2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28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29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0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1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2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3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4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5"/>
        <v>0</v>
      </c>
      <c r="AX63" s="31"/>
      <c r="AY63" s="31"/>
      <c r="AZ63" s="31"/>
      <c r="BA63" s="31"/>
      <c r="BB63" s="122"/>
      <c r="BC63" s="75">
        <f t="shared" si="36"/>
        <v>0</v>
      </c>
      <c r="BD63" s="31"/>
      <c r="BE63" s="31"/>
      <c r="BF63" s="31"/>
      <c r="BG63" s="31"/>
      <c r="BH63" s="122"/>
      <c r="BI63" s="75">
        <f t="shared" si="37"/>
        <v>0</v>
      </c>
      <c r="BJ63" s="31"/>
      <c r="BK63" s="31"/>
      <c r="BL63" s="31"/>
      <c r="BM63" s="31"/>
      <c r="BN63" s="122"/>
      <c r="BO63" s="75">
        <f t="shared" si="38"/>
        <v>0</v>
      </c>
      <c r="BP63" s="31"/>
      <c r="BQ63" s="31"/>
      <c r="BR63" s="31"/>
      <c r="BS63" s="31"/>
      <c r="BT63" s="122"/>
      <c r="BU63" s="75">
        <f t="shared" si="39"/>
        <v>0</v>
      </c>
      <c r="BV63" s="31"/>
      <c r="BW63" s="31"/>
      <c r="BX63" s="31"/>
      <c r="BY63" s="31"/>
      <c r="BZ63" s="122"/>
      <c r="CA63" s="75">
        <f t="shared" ref="CA63:CA67" si="40">SUM(BW63:BZ63)</f>
        <v>0</v>
      </c>
      <c r="CB63" s="31"/>
      <c r="CC63" s="31"/>
      <c r="CD63" s="31"/>
      <c r="CE63" s="31"/>
      <c r="CF63" s="122"/>
      <c r="CG63" s="75">
        <f t="shared" ref="CG63:CG67" si="41">SUM(CC63:CF63)</f>
        <v>0</v>
      </c>
    </row>
    <row r="64" spans="1:216" x14ac:dyDescent="0.2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28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29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0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1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2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3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4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5"/>
        <v>0</v>
      </c>
      <c r="AX64" s="31"/>
      <c r="AY64" s="136"/>
      <c r="AZ64" s="136"/>
      <c r="BA64" s="31"/>
      <c r="BB64" s="122"/>
      <c r="BC64" s="75">
        <f t="shared" si="36"/>
        <v>0</v>
      </c>
      <c r="BD64" s="31"/>
      <c r="BE64" s="136"/>
      <c r="BF64" s="136"/>
      <c r="BG64" s="31"/>
      <c r="BH64" s="122"/>
      <c r="BI64" s="75">
        <f t="shared" si="37"/>
        <v>0</v>
      </c>
      <c r="BJ64" s="31"/>
      <c r="BK64" s="136"/>
      <c r="BL64" s="136"/>
      <c r="BM64" s="31"/>
      <c r="BN64" s="122"/>
      <c r="BO64" s="75">
        <f t="shared" si="38"/>
        <v>0</v>
      </c>
      <c r="BP64" s="31"/>
      <c r="BQ64" s="136"/>
      <c r="BR64" s="136"/>
      <c r="BS64" s="31"/>
      <c r="BT64" s="122"/>
      <c r="BU64" s="75">
        <f t="shared" si="39"/>
        <v>0</v>
      </c>
      <c r="BV64" s="31"/>
      <c r="BW64" s="136"/>
      <c r="BX64" s="136"/>
      <c r="BY64" s="31"/>
      <c r="BZ64" s="122"/>
      <c r="CA64" s="75">
        <f t="shared" si="40"/>
        <v>0</v>
      </c>
      <c r="CB64" s="31"/>
      <c r="CC64" s="136"/>
      <c r="CD64" s="136"/>
      <c r="CE64" s="31"/>
      <c r="CF64" s="122"/>
      <c r="CG64" s="75">
        <f t="shared" si="41"/>
        <v>0</v>
      </c>
    </row>
    <row r="65" spans="1:216" x14ac:dyDescent="0.2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28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29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0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1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2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3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4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5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6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37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38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39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0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1"/>
        <v>1.1000000000000005</v>
      </c>
    </row>
    <row r="66" spans="1:216" hidden="1" x14ac:dyDescent="0.2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28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29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0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1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2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3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4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5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6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37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38"/>
        <v>0</v>
      </c>
      <c r="BP66" s="31"/>
      <c r="BQ66" s="31">
        <v>0</v>
      </c>
      <c r="BR66" s="31"/>
      <c r="BS66" s="31"/>
      <c r="BT66" s="122"/>
      <c r="BU66" s="75">
        <f t="shared" si="39"/>
        <v>0</v>
      </c>
      <c r="BV66" s="31"/>
      <c r="BW66" s="31">
        <v>0</v>
      </c>
      <c r="BX66" s="31"/>
      <c r="BY66" s="31"/>
      <c r="BZ66" s="122"/>
      <c r="CA66" s="75">
        <f t="shared" si="40"/>
        <v>0</v>
      </c>
      <c r="CB66" s="31"/>
      <c r="CC66" s="31">
        <v>0</v>
      </c>
      <c r="CD66" s="31"/>
      <c r="CE66" s="31"/>
      <c r="CF66" s="122"/>
      <c r="CG66" s="75">
        <f t="shared" si="41"/>
        <v>0</v>
      </c>
    </row>
    <row r="67" spans="1:216" x14ac:dyDescent="0.2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28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29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0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1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2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3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4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5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6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37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38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39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0"/>
        <v>0</v>
      </c>
      <c r="CB67" s="31"/>
      <c r="CC67" s="31"/>
      <c r="CD67" s="31"/>
      <c r="CE67" s="31"/>
      <c r="CF67" s="122"/>
      <c r="CG67" s="75">
        <f t="shared" si="41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</row>
    <row r="70" spans="1:216" x14ac:dyDescent="0.2">
      <c r="A70" s="5" t="s">
        <v>33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</row>
    <row r="71" spans="1:216" s="60" customFormat="1" x14ac:dyDescent="0.2">
      <c r="A71" s="60" t="s">
        <v>153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</row>
    <row r="72" spans="1:216" x14ac:dyDescent="0.2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</row>
    <row r="73" spans="1:216" hidden="1" x14ac:dyDescent="0.2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</row>
    <row r="74" spans="1:216" x14ac:dyDescent="0.2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</row>
    <row r="75" spans="1:216" x14ac:dyDescent="0.2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</row>
    <row r="76" spans="1:216" hidden="1" x14ac:dyDescent="0.2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</row>
    <row r="77" spans="1:216" x14ac:dyDescent="0.2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</row>
    <row r="79" spans="1:216" s="63" customFormat="1" ht="18.75" customHeight="1" x14ac:dyDescent="0.2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(D68+E68+F68+I68+Valuation!H20+Valuation!H21)/AVERAGE(C78:I78)</f>
        <v>0.15243727392777176</v>
      </c>
      <c r="J79" s="67">
        <f>(E68+F68+I68+J68+Valuation!I20+Valuation!I21)/AVERAGE(D78:J78)</f>
        <v>0.165809981760902</v>
      </c>
      <c r="K79" s="67">
        <f>(F68+I68+J68+K68+Valuation!J20+Valuation!J21)/AVERAGE(E78:K78)</f>
        <v>0.17703632065334191</v>
      </c>
      <c r="L79" s="67">
        <f>(M68+Valuation!K20+Valuation!K21)/(AVERAGE(F78:L78))</f>
        <v>0.18741421180445578</v>
      </c>
      <c r="M79" s="68"/>
      <c r="O79" s="67">
        <f>(J68+K68+L68+O68+Valuation!M20+Valuation!M21)/AVERAGE(I78:O78)</f>
        <v>0.19103112553473967</v>
      </c>
      <c r="P79" s="67">
        <f>(K68+L68+O68+P68+Valuation!N20+Valuation!N21)/AVERAGE(J78:P78)</f>
        <v>0.20670158038652273</v>
      </c>
      <c r="Q79" s="67">
        <f>(L68+O68+P68+Q68+Valuation!O20+Valuation!O21)/AVERAGE(K78:Q78)</f>
        <v>0.20343541250975974</v>
      </c>
      <c r="R79" s="67">
        <f>(S68+Valuation!P20+Valuation!P21)/(AVERAGE(L78:R78))</f>
        <v>0.21950111505740483</v>
      </c>
      <c r="S79" s="68"/>
      <c r="U79" s="67">
        <f>(P68+Q68+R68+U68+Valuation!R20+Valuation!R21)/AVERAGE(O78:U78)</f>
        <v>0.21134893748075151</v>
      </c>
      <c r="V79" s="67">
        <f>(Q68+R68+U68+V68+Valuation!S20+Valuation!S21)/AVERAGE(P78:V78)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</row>
    <row r="80" spans="1:216" s="5" customFormat="1" ht="18.75" customHeight="1" x14ac:dyDescent="0.2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(S61+Valuation!P20+Valuation!P19)/(AVERAGE(L71:R71))</f>
        <v>0.23615406241214507</v>
      </c>
      <c r="S80" s="64"/>
      <c r="U80" s="28">
        <f>(P61+Q61+R61+U61+Valuation!R20)/AVERAGE(O71:U71)</f>
        <v>0.21296911325141146</v>
      </c>
      <c r="V80" s="28">
        <f>(Q61+R61+U61+V61+Valuation!S20)/AVERAGE(P71:V71)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HH80" s="27"/>
    </row>
    <row r="81" spans="1:85" s="177" customFormat="1" ht="18.75" customHeight="1" x14ac:dyDescent="0.2">
      <c r="A81" s="177" t="s">
        <v>91</v>
      </c>
      <c r="C81" s="178"/>
      <c r="D81" s="178"/>
      <c r="E81" s="178"/>
      <c r="F81" s="178">
        <v>0.14803516956755788</v>
      </c>
      <c r="G81" s="179"/>
      <c r="I81" s="178">
        <f>(D62+E62+F62+I62+Valuation!H20+Valuation!H21)/AVERAGE(C72:I72)</f>
        <v>0.14395229982964225</v>
      </c>
      <c r="J81" s="178">
        <f>(E62+F62+I62+J62+Valuation!I20+Valuation!I21)/AVERAGE(D72:J72)</f>
        <v>0.14823451032644905</v>
      </c>
      <c r="K81" s="178">
        <f>(F62+I62+J62+K62+Valuation!J20+Valuation!J21)/AVERAGE(E72:K72)</f>
        <v>0.15078507933870566</v>
      </c>
      <c r="L81" s="178">
        <f>(M62+Valuation!K21+Valuation!K20)/(AVERAGE(F72:L72))</f>
        <v>0.16604400166044003</v>
      </c>
      <c r="M81" s="179"/>
      <c r="O81" s="178">
        <f>(J62+K62+L62+O62+Valuation!M20+Valuation!M21)/AVERAGE(I72:O72)</f>
        <v>0.18078297730861939</v>
      </c>
      <c r="P81" s="178">
        <f>(K62+L62+O62+P62+Valuation!N20+Valuation!N21)/AVERAGE(J72:P72)</f>
        <v>0.18875838926174496</v>
      </c>
      <c r="Q81" s="178">
        <f>(L62+O62+P62+Q62+Valuation!O20+Valuation!O21)/AVERAGE(K72:Q72)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</row>
    <row r="82" spans="1:85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85" ht="11.1" customHeight="1" x14ac:dyDescent="0.2">
      <c r="A83" s="146" t="s">
        <v>139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163</v>
      </c>
      <c r="BX83" s="7"/>
      <c r="BY83" s="7"/>
      <c r="CA83" s="145"/>
      <c r="CC83" s="153"/>
      <c r="CD83" s="7"/>
      <c r="CE83" s="7"/>
      <c r="CG83" s="145"/>
    </row>
    <row r="84" spans="1:85" ht="11.1" customHeight="1" x14ac:dyDescent="0.2">
      <c r="A84" s="148" t="s">
        <v>166</v>
      </c>
      <c r="AQ84" s="3"/>
      <c r="BW84" s="147" t="s">
        <v>164</v>
      </c>
      <c r="CC84" s="147"/>
    </row>
    <row r="85" spans="1:85" ht="11.1" customHeight="1" x14ac:dyDescent="0.2">
      <c r="A85" s="148" t="s">
        <v>167</v>
      </c>
      <c r="AQ85" s="3"/>
      <c r="BK85" s="7"/>
      <c r="BL85" s="10"/>
      <c r="BQ85" s="7"/>
      <c r="BR85" s="7"/>
      <c r="BW85" s="154" t="s">
        <v>165</v>
      </c>
      <c r="BX85" s="7"/>
      <c r="CC85" s="154"/>
      <c r="CD85" s="7"/>
      <c r="CF85" s="85"/>
    </row>
    <row r="86" spans="1:85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</row>
  </sheetData>
  <mergeCells count="28">
    <mergeCell ref="CC1:CG1"/>
    <mergeCell ref="CC2:CG2"/>
    <mergeCell ref="BW1:CA1"/>
    <mergeCell ref="BW2:CA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4"/>
  <sheetViews>
    <sheetView showGridLines="0" zoomScaleNormal="100" workbookViewId="0">
      <pane xSplit="1" ySplit="3" topLeftCell="BB4" activePane="bottomRight" state="frozen"/>
      <selection activeCell="BW54" sqref="BW54"/>
      <selection pane="topRight" activeCell="BW54" sqref="BW54"/>
      <selection pane="bottomLeft" activeCell="BW54" sqref="BW54"/>
      <selection pane="bottomRight" activeCell="BS22" sqref="BS22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0" width="9.7109375" style="2" customWidth="1"/>
    <col min="71" max="71" width="8.7109375" style="2" customWidth="1"/>
    <col min="72" max="16384" width="9.140625" style="2"/>
  </cols>
  <sheetData>
    <row r="1" spans="1:76" x14ac:dyDescent="0.2">
      <c r="C1" s="241"/>
      <c r="D1" s="241"/>
      <c r="E1" s="241"/>
      <c r="F1" s="241"/>
      <c r="H1" s="241"/>
      <c r="I1" s="241"/>
      <c r="J1" s="241"/>
      <c r="K1" s="241"/>
      <c r="M1" s="241"/>
      <c r="N1" s="241"/>
      <c r="O1" s="241"/>
      <c r="P1" s="241"/>
      <c r="R1" s="241"/>
      <c r="S1" s="241"/>
      <c r="T1" s="241"/>
      <c r="U1" s="241"/>
      <c r="W1" s="241"/>
      <c r="X1" s="241"/>
      <c r="Y1" s="241"/>
      <c r="Z1" s="241"/>
      <c r="AB1" s="241"/>
      <c r="AC1" s="241"/>
      <c r="AD1" s="241"/>
      <c r="AE1" s="241"/>
      <c r="AG1" s="241"/>
      <c r="AH1" s="241"/>
      <c r="AI1" s="241"/>
      <c r="AJ1" s="241"/>
      <c r="AL1" s="241"/>
      <c r="AM1" s="241"/>
      <c r="AN1" s="241"/>
      <c r="AO1" s="241"/>
      <c r="AQ1" s="241"/>
      <c r="AR1" s="241"/>
      <c r="AS1" s="241"/>
      <c r="AT1" s="241"/>
      <c r="AV1" s="241"/>
      <c r="AW1" s="241"/>
      <c r="AX1" s="241"/>
      <c r="AY1" s="241"/>
      <c r="BA1" s="241"/>
      <c r="BB1" s="241"/>
      <c r="BC1" s="241"/>
      <c r="BD1" s="241"/>
      <c r="BF1" s="241"/>
      <c r="BG1" s="241"/>
      <c r="BH1" s="241"/>
      <c r="BI1" s="241"/>
      <c r="BK1" s="243" t="s">
        <v>175</v>
      </c>
      <c r="BL1" s="243"/>
      <c r="BM1" s="243"/>
      <c r="BN1" s="243"/>
      <c r="BP1" s="243"/>
      <c r="BQ1" s="243"/>
      <c r="BR1" s="243"/>
      <c r="BS1" s="243"/>
      <c r="BT1" s="198"/>
      <c r="BU1" s="198"/>
    </row>
    <row r="2" spans="1:76" x14ac:dyDescent="0.2">
      <c r="A2" s="1" t="s">
        <v>162</v>
      </c>
      <c r="C2" s="242">
        <v>2005</v>
      </c>
      <c r="D2" s="242"/>
      <c r="E2" s="242"/>
      <c r="F2" s="242"/>
      <c r="H2" s="242">
        <v>2006</v>
      </c>
      <c r="I2" s="242"/>
      <c r="J2" s="242"/>
      <c r="K2" s="242"/>
      <c r="M2" s="242">
        <v>2007</v>
      </c>
      <c r="N2" s="242"/>
      <c r="O2" s="242"/>
      <c r="P2" s="242"/>
      <c r="R2" s="242">
        <v>2008</v>
      </c>
      <c r="S2" s="242"/>
      <c r="T2" s="242"/>
      <c r="U2" s="242"/>
      <c r="W2" s="242">
        <v>2009</v>
      </c>
      <c r="X2" s="242"/>
      <c r="Y2" s="242"/>
      <c r="Z2" s="242"/>
      <c r="AB2" s="242">
        <v>2010</v>
      </c>
      <c r="AC2" s="242"/>
      <c r="AD2" s="242"/>
      <c r="AE2" s="242"/>
      <c r="AG2" s="242">
        <v>2011</v>
      </c>
      <c r="AH2" s="242"/>
      <c r="AI2" s="242"/>
      <c r="AJ2" s="242"/>
      <c r="AL2" s="242">
        <v>2012</v>
      </c>
      <c r="AM2" s="242"/>
      <c r="AN2" s="242"/>
      <c r="AO2" s="242"/>
      <c r="AQ2" s="242">
        <v>2013</v>
      </c>
      <c r="AR2" s="242"/>
      <c r="AS2" s="242"/>
      <c r="AT2" s="242"/>
      <c r="AV2" s="242">
        <v>2014</v>
      </c>
      <c r="AW2" s="242"/>
      <c r="AX2" s="242"/>
      <c r="AY2" s="242"/>
      <c r="BA2" s="242">
        <v>2015</v>
      </c>
      <c r="BB2" s="242"/>
      <c r="BC2" s="242"/>
      <c r="BD2" s="242"/>
      <c r="BF2" s="242">
        <v>2016</v>
      </c>
      <c r="BG2" s="242"/>
      <c r="BH2" s="242"/>
      <c r="BI2" s="242"/>
      <c r="BK2" s="242">
        <v>2017</v>
      </c>
      <c r="BL2" s="242"/>
      <c r="BM2" s="242"/>
      <c r="BN2" s="242"/>
      <c r="BP2" s="242">
        <v>2018</v>
      </c>
      <c r="BQ2" s="242"/>
      <c r="BR2" s="242"/>
      <c r="BS2" s="242"/>
    </row>
    <row r="3" spans="1:76" s="170" customFormat="1" x14ac:dyDescent="0.2">
      <c r="A3" s="169" t="s">
        <v>114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</row>
    <row r="6" spans="1:76" x14ac:dyDescent="0.2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</row>
    <row r="7" spans="1:76" s="56" customFormat="1" x14ac:dyDescent="0.2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</row>
    <row r="11" spans="1:76" x14ac:dyDescent="0.2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31"/>
      <c r="BV11" s="31"/>
      <c r="BW11" s="31"/>
      <c r="BX11" s="31"/>
    </row>
    <row r="12" spans="1:76" x14ac:dyDescent="0.2">
      <c r="A12" s="2" t="s">
        <v>185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31"/>
      <c r="BV12" s="31"/>
      <c r="BW12" s="31"/>
      <c r="BX12" s="31"/>
    </row>
    <row r="13" spans="1:76" x14ac:dyDescent="0.2">
      <c r="A13" s="2" t="s">
        <v>168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31"/>
      <c r="BV13" s="31"/>
      <c r="BW13" s="31"/>
      <c r="BX13" s="31"/>
    </row>
    <row r="14" spans="1:76" x14ac:dyDescent="0.2">
      <c r="A14" s="2" t="s">
        <v>111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31"/>
      <c r="BV14" s="31"/>
      <c r="BW14" s="31"/>
      <c r="BX14" s="31"/>
    </row>
    <row r="15" spans="1:76" s="56" customFormat="1" x14ac:dyDescent="0.2">
      <c r="A15" s="56" t="s">
        <v>115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23"/>
      <c r="BV15" s="123"/>
      <c r="BW15" s="123"/>
      <c r="BX15" s="123"/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37"/>
      <c r="BV16" s="137"/>
      <c r="BW16" s="137"/>
      <c r="BX16" s="137"/>
    </row>
    <row r="17" spans="1:76" x14ac:dyDescent="0.2">
      <c r="A17" s="2" t="s">
        <v>39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'Segment Data'!D38+'Segment Data'!E38+'Segment Data'!F38+'Segment Data'!I38</f>
        <v>102.5503355704698</v>
      </c>
      <c r="I17" s="84">
        <f>'Segment Data'!J38+'Segment Data'!I38+'Segment Data'!F38+'Segment Data'!E38</f>
        <v>129.26174496644296</v>
      </c>
      <c r="J17" s="31">
        <f>'Segment Data'!K38+'Segment Data'!J38+'Segment Data'!I38+'Segment Data'!F38</f>
        <v>137.98657718120805</v>
      </c>
      <c r="K17" s="84">
        <f>'Segment Data'!M38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+'Segment Data'!BK38+'Segment Data'!BH38+'Segment Data'!BG38+'Segment Data'!BF38</f>
        <v>135.57046979865771</v>
      </c>
      <c r="BB17" s="84">
        <f>+'Segment Data'!BL38+'Segment Data'!BK38+'Segment Data'!BH38+'Segment Data'!BG38</f>
        <v>160.40268456375838</v>
      </c>
      <c r="BC17" s="85">
        <f>+'Segment Data'!BM38+'Segment Data'!BL38+'Segment Data'!BK38+'Segment Data'!BH38</f>
        <v>162.28187919463087</v>
      </c>
      <c r="BD17" s="84">
        <f>+'Segment Data'!BN38+'Segment Data'!BM38+'Segment Data'!BL38+'Segment Data'!BK38</f>
        <v>152.03154362416106</v>
      </c>
      <c r="BE17" s="31"/>
      <c r="BF17" s="85">
        <f>+'Segment Data'!BQ38+'Segment Data'!BN38+'Segment Data'!BM38+'Segment Data'!BL38</f>
        <v>155.04663758389262</v>
      </c>
      <c r="BG17" s="84">
        <f>+'Segment Data'!BR38+'Segment Data'!BQ38+'Segment Data'!BN38+'Segment Data'!BM38</f>
        <v>151.21576510067115</v>
      </c>
      <c r="BH17" s="85">
        <f>+'Segment Data'!BS38+'Segment Data'!BR38+'Segment Data'!BQ38+'Segment Data'!BN38+0.2</f>
        <v>125.40100000000001</v>
      </c>
      <c r="BI17" s="84">
        <f>+'Segment Data'!BS38+'Segment Data'!BR38+'Segment Data'!BQ38+'Segment Data'!BT38</f>
        <v>124.70100000000001</v>
      </c>
      <c r="BJ17" s="31"/>
      <c r="BK17" s="85">
        <f>+'Segment Data'!BR38+'Segment Data'!BS38+'Segment Data'!BT38+'Segment Data'!BW38</f>
        <v>120.80000000000001</v>
      </c>
      <c r="BL17" s="84">
        <f>+'Segment Data'!BX38+'Segment Data'!BW38+'Segment Data'!BT38+'Segment Data'!BS38</f>
        <v>141.69999999999999</v>
      </c>
      <c r="BM17" s="85">
        <f>+'Segment Data'!BY38+'Segment Data'!BX38+'Segment Data'!BW38+'Segment Data'!BT38</f>
        <v>190.10000000000002</v>
      </c>
      <c r="BN17" s="84">
        <f>+'Segment Data'!CA38</f>
        <v>96.9</v>
      </c>
      <c r="BO17" s="31"/>
      <c r="BP17" s="85">
        <f>+'Segment Data'!CA38+'Segment Data'!CC38-'Segment Data'!BW31-'Segment Data'!BW35</f>
        <v>111.6</v>
      </c>
      <c r="BQ17" s="84">
        <f>+'Segment Data'!CA38+'Segment Data'!CC38+'Segment Data'!CD38-'Segment Data'!BW31-'Segment Data'!BW35-'Segment Data'!BX31-'Segment Data'!BX35</f>
        <v>98.700000000000017</v>
      </c>
      <c r="BR17" s="85">
        <f>+'Segment Data'!CE38+'Segment Data'!CD38+'Segment Data'!CC38+'Segment Data'!BZ38</f>
        <v>81.000000000000014</v>
      </c>
      <c r="BS17" s="84">
        <f>+'Segment Data'!CG38</f>
        <v>49.800000000000004</v>
      </c>
      <c r="BT17" s="31"/>
      <c r="BU17" s="31"/>
      <c r="BV17" s="31"/>
      <c r="BW17" s="31"/>
      <c r="BX17" s="31"/>
    </row>
    <row r="18" spans="1:76" x14ac:dyDescent="0.2">
      <c r="A18" s="70" t="s">
        <v>76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31"/>
      <c r="BV18" s="31"/>
      <c r="BW18" s="31"/>
      <c r="BX18" s="31"/>
    </row>
    <row r="19" spans="1:76" x14ac:dyDescent="0.2">
      <c r="A19" s="2" t="s">
        <v>102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31"/>
      <c r="BV19" s="31"/>
      <c r="BW19" s="31"/>
      <c r="BX19" s="31"/>
    </row>
    <row r="20" spans="1:76" x14ac:dyDescent="0.2">
      <c r="A20" s="2" t="s">
        <v>40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31"/>
      <c r="BV20" s="31"/>
      <c r="BW20" s="31"/>
      <c r="BX20" s="31"/>
    </row>
    <row r="21" spans="1:76" x14ac:dyDescent="0.2">
      <c r="A21" s="2" t="s">
        <v>173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31"/>
      <c r="BV21" s="31"/>
      <c r="BW21" s="31"/>
      <c r="BX21" s="31"/>
    </row>
    <row r="22" spans="1:76" x14ac:dyDescent="0.2">
      <c r="A22" s="2" t="s">
        <v>103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31"/>
      <c r="BV22" s="31"/>
      <c r="BW22" s="31"/>
      <c r="BX22" s="31"/>
    </row>
    <row r="23" spans="1:76" x14ac:dyDescent="0.2">
      <c r="A23" s="2" t="s">
        <v>94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31"/>
      <c r="BV23" s="31"/>
      <c r="BW23" s="31"/>
      <c r="BX23" s="31"/>
    </row>
    <row r="24" spans="1:76" s="56" customFormat="1" x14ac:dyDescent="0.2">
      <c r="A24" s="56" t="s">
        <v>77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+'Segment Data'!BS24+'Segment Data'!BR24+'Segment Data'!BQ24+'Segment Data'!BN24+0.2</f>
        <v>179.80099999999999</v>
      </c>
      <c r="BI24" s="124">
        <f>+'Segment Data'!BT24+'Segment Data'!BS24+'Segment Data'!BR24+'Segment Data'!BQ24</f>
        <v>191.70100000000002</v>
      </c>
      <c r="BJ24" s="123"/>
      <c r="BK24" s="144">
        <f>SUM(BK17:BK23)</f>
        <v>204.20000000000002</v>
      </c>
      <c r="BL24" s="124">
        <f>+'Segment Data'!BX24+'Segment Data'!BW24+'Segment Data'!BT24+'Segment Data'!BS24</f>
        <v>230.8</v>
      </c>
      <c r="BM24" s="144">
        <f>+'Segment Data'!BY24+'Segment Data'!BX24+'Segment Data'!BW24+'Segment Data'!BT24</f>
        <v>248.79999999999998</v>
      </c>
      <c r="BN24" s="124">
        <f>+'Segment Data'!CA24</f>
        <v>141.80000000000001</v>
      </c>
      <c r="BO24" s="123"/>
      <c r="BP24" s="144">
        <f>+'Segment Data'!CA24+'Segment Data'!CC24-'Segment Data'!BW19-'Segment Data'!BW22</f>
        <v>145</v>
      </c>
      <c r="BQ24" s="124">
        <f>+'Segment Data'!CA24+'Segment Data'!CC24+'Segment Data'!CD24-'Segment Data'!BW19-'Segment Data'!BW22-'Segment Data'!BX19-'Segment Data'!BX22</f>
        <v>134.5</v>
      </c>
      <c r="BR24" s="144">
        <f>+'Segment Data'!CE24+'Segment Data'!CD24+'Segment Data'!CC24+'Segment Data'!BZ24</f>
        <v>119.10000000000001</v>
      </c>
      <c r="BS24" s="124">
        <f>+'Segment Data'!CG24</f>
        <v>79.3</v>
      </c>
      <c r="BT24" s="123"/>
      <c r="BU24" s="123"/>
      <c r="BV24" s="123"/>
      <c r="BW24" s="123"/>
      <c r="BX24" s="123"/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37"/>
      <c r="BV25" s="137"/>
      <c r="BW25" s="137"/>
      <c r="BX25" s="137"/>
    </row>
    <row r="26" spans="1:76" x14ac:dyDescent="0.2">
      <c r="A26" s="2" t="s">
        <v>41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+'Segment Data'!CA19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31"/>
      <c r="BV26" s="31"/>
      <c r="BW26" s="31"/>
      <c r="BX26" s="31"/>
    </row>
    <row r="27" spans="1:76" x14ac:dyDescent="0.2">
      <c r="A27" s="2" t="s">
        <v>42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'Segment Data'!D35+'Segment Data'!E35+'Segment Data'!F35+'Segment Data'!I35</f>
        <v>-1.7449664429530203</v>
      </c>
      <c r="I27" s="84">
        <f>'Segment Data'!J35+'Segment Data'!I35+'Segment Data'!F35+'Segment Data'!E35</f>
        <v>-2.0134228187919461</v>
      </c>
      <c r="J27" s="31">
        <f>'Segment Data'!K35+'Segment Data'!J35+'Segment Data'!I35+'Segment Data'!F35</f>
        <v>-2.8187919463087248</v>
      </c>
      <c r="K27" s="84">
        <f>'Segment Data'!M35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(+'Segment Data'!AS35+'Segment Data'!AP35+'Segment Data'!AO35+'Segment Data'!AN35)</f>
        <v>1.0738255033557047</v>
      </c>
      <c r="AM27" s="84">
        <f>('Segment Data'!AO35+'Segment Data'!AP35+'Segment Data'!AS35+'Segment Data'!AT35)</f>
        <v>0.67114093959731524</v>
      </c>
      <c r="AN27" s="31">
        <f>('Segment Data'!AP35+'Segment Data'!AS35+'Segment Data'!AT35+'Segment Data'!AU35)</f>
        <v>0.13422818791946303</v>
      </c>
      <c r="AO27" s="84">
        <f>('Segment Data'!AW35)</f>
        <v>1.2080536912751674</v>
      </c>
      <c r="AP27" s="31"/>
      <c r="AQ27" s="85">
        <f>(+'Segment Data'!AY35+'Segment Data'!AV35+'Segment Data'!AU35+'Segment Data'!AT35)</f>
        <v>0.67114093959731524</v>
      </c>
      <c r="AR27" s="84">
        <f>('Segment Data'!AU35+'Segment Data'!AV35+'Segment Data'!AY35+'Segment Data'!AZ35)</f>
        <v>1.0738255033557043</v>
      </c>
      <c r="AS27" s="31">
        <f>('Segment Data'!AV35+'Segment Data'!AY35+'Segment Data'!AZ35+'Segment Data'!BA35)</f>
        <v>1.4765100671140938</v>
      </c>
      <c r="AT27" s="84">
        <f>('Segment Data'!BC35)</f>
        <v>0.80536912751677847</v>
      </c>
      <c r="AU27" s="31"/>
      <c r="AV27" s="85">
        <f>(+'Segment Data'!BE35+'Segment Data'!BB35+'Segment Data'!BA35+'Segment Data'!AZ35)</f>
        <v>1.476510067114094</v>
      </c>
      <c r="AW27" s="84">
        <f>(+'Segment Data'!BF35+'Segment Data'!BE35+'Segment Data'!BB35+'Segment Data'!BA35)</f>
        <v>1.3422818791946309</v>
      </c>
      <c r="AX27" s="31">
        <f>('Segment Data'!BB35+'Segment Data'!BE35+'Segment Data'!BF35+'Segment Data'!BG35)</f>
        <v>1.2080536912751678</v>
      </c>
      <c r="AY27" s="84">
        <f>('Segment Data'!BE35+'Segment Data'!BF35+'Segment Data'!BG35+'Segment Data'!BH35)</f>
        <v>2.8187919463087248</v>
      </c>
      <c r="AZ27" s="31"/>
      <c r="BA27" s="85">
        <f>+'Segment Data'!BK35+'Segment Data'!BH35+'Segment Data'!BG35+'Segment Data'!BF35</f>
        <v>2.6845637583892614</v>
      </c>
      <c r="BB27" s="84">
        <f>+'Segment Data'!BL35+'Segment Data'!BK35+'Segment Data'!BH35+'Segment Data'!BG35</f>
        <v>1.879194630872483</v>
      </c>
      <c r="BC27" s="31">
        <f>+'Segment Data'!BM35+'Segment Data'!BL35+'Segment Data'!BK35+'Segment Data'!BH35</f>
        <v>3.624161073825503</v>
      </c>
      <c r="BD27" s="84">
        <f>+'Segment Data'!BO22</f>
        <v>3.6711409395973154</v>
      </c>
      <c r="BE27" s="31"/>
      <c r="BF27" s="85">
        <f>+'Segment Data'!BQ22+'Segment Data'!BN22+'Segment Data'!BM22+'Segment Data'!BL22</f>
        <v>3.5053691275167784</v>
      </c>
      <c r="BG27" s="84">
        <f>+'Segment Data'!BR22+'Segment Data'!BQ22+'Segment Data'!BN22+'Segment Data'!BM22</f>
        <v>4.2791946308724835</v>
      </c>
      <c r="BH27" s="85">
        <f>+'Segment Data'!BS22+'Segment Data'!BR22+'Segment Data'!BQ22+'Segment Data'!BN22</f>
        <v>3.3000000000000003</v>
      </c>
      <c r="BI27" s="84">
        <f>+'Segment Data'!BT22+'Segment Data'!BS22+'Segment Data'!BR22+'Segment Data'!BQ22</f>
        <v>6.3000000000000007</v>
      </c>
      <c r="BJ27" s="31"/>
      <c r="BK27" s="85">
        <f>+'Segment Data'!BW22+'Segment Data'!BT22+'Segment Data'!BS22+'Segment Data'!BR22</f>
        <v>4.5</v>
      </c>
      <c r="BL27" s="84">
        <f>+'Segment Data'!BX22+'Segment Data'!BW22+'Segment Data'!BT22+'Segment Data'!BS22</f>
        <v>5.5</v>
      </c>
      <c r="BM27" s="85">
        <f>+'Segment Data'!BY22+'Segment Data'!BX22+'Segment Data'!BW22+'Segment Data'!BT22</f>
        <v>3.8</v>
      </c>
      <c r="BN27" s="84">
        <f>+'Segment Data'!CA22</f>
        <v>3.5</v>
      </c>
      <c r="BO27" s="31"/>
      <c r="BP27" s="85">
        <f>+'Segment Data'!CC22+'Segment Data'!BY22+'Segment Data'!BX22+'Segment Data'!BZ22</f>
        <v>4.1000000000000005</v>
      </c>
      <c r="BQ27" s="84">
        <f>+'Segment Data'!CD22+'Segment Data'!CC22+'Segment Data'!BZ22+'Segment Data'!BY22</f>
        <v>4.4000000000000004</v>
      </c>
      <c r="BR27" s="85">
        <f>+'Segment Data'!CE22+'Segment Data'!CD22+'Segment Data'!CC22+'Segment Data'!BZ22</f>
        <v>6.7</v>
      </c>
      <c r="BS27" s="84">
        <f>+'Segment Data'!CG22</f>
        <v>9</v>
      </c>
      <c r="BT27" s="31"/>
      <c r="BU27" s="31"/>
      <c r="BV27" s="31"/>
      <c r="BW27" s="31"/>
      <c r="BX27" s="31"/>
    </row>
    <row r="28" spans="1:76" s="56" customFormat="1" x14ac:dyDescent="0.2">
      <c r="A28" s="56" t="s">
        <v>77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23"/>
      <c r="BV28" s="123"/>
      <c r="BW28" s="123"/>
      <c r="BX28" s="123"/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37"/>
      <c r="BV29" s="137"/>
      <c r="BW29" s="137"/>
      <c r="BX29" s="137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</row>
    <row r="31" spans="1:76" x14ac:dyDescent="0.2">
      <c r="A31" s="5" t="s">
        <v>43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</row>
    <row r="32" spans="1:76" x14ac:dyDescent="0.2">
      <c r="A32" s="2" t="s">
        <v>104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</row>
    <row r="33" spans="1:71" x14ac:dyDescent="0.2">
      <c r="A33" s="2" t="s">
        <v>105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</row>
    <row r="34" spans="1:71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</row>
    <row r="35" spans="1:71" x14ac:dyDescent="0.2">
      <c r="A35" s="5" t="s">
        <v>50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</row>
    <row r="36" spans="1:71" s="164" customFormat="1" x14ac:dyDescent="0.2">
      <c r="A36" s="164" t="s">
        <v>176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</row>
    <row r="37" spans="1:71" s="162" customFormat="1" x14ac:dyDescent="0.2">
      <c r="A37" s="163" t="s">
        <v>178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</row>
    <row r="38" spans="1:71" x14ac:dyDescent="0.2">
      <c r="A38" s="163" t="s">
        <v>177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</row>
    <row r="39" spans="1:71" x14ac:dyDescent="0.2">
      <c r="A39" s="163" t="s">
        <v>179</v>
      </c>
    </row>
    <row r="40" spans="1:71" x14ac:dyDescent="0.2">
      <c r="R40" s="34"/>
    </row>
    <row r="41" spans="1:71" x14ac:dyDescent="0.2">
      <c r="R41" s="34"/>
    </row>
    <row r="43" spans="1:71" x14ac:dyDescent="0.2">
      <c r="R43" s="35"/>
    </row>
    <row r="44" spans="1:71" x14ac:dyDescent="0.2">
      <c r="R44" s="35"/>
    </row>
  </sheetData>
  <mergeCells count="28">
    <mergeCell ref="BP1:BS1"/>
    <mergeCell ref="BP2:BS2"/>
    <mergeCell ref="BK1:BN1"/>
    <mergeCell ref="BK2:BN2"/>
    <mergeCell ref="BF1:BI1"/>
    <mergeCell ref="BF2:BI2"/>
    <mergeCell ref="AB1:AE1"/>
    <mergeCell ref="AB2:AE2"/>
    <mergeCell ref="AQ1:AT1"/>
    <mergeCell ref="AQ2:AT2"/>
    <mergeCell ref="AG1:AJ1"/>
    <mergeCell ref="AG2:AJ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Frederiksen, Per</cp:lastModifiedBy>
  <cp:lastPrinted>2019-02-27T09:40:48Z</cp:lastPrinted>
  <dcterms:created xsi:type="dcterms:W3CDTF">2003-02-28T10:07:39Z</dcterms:created>
  <dcterms:modified xsi:type="dcterms:W3CDTF">2019-02-27T12:41:00Z</dcterms:modified>
</cp:coreProperties>
</file>