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K:\Consolidation\Reporting\2021\2021 M12\YE 2021\Ledelsesberetning + skemaer til Nass\"/>
    </mc:Choice>
  </mc:AlternateContent>
  <xr:revisionPtr revIDLastSave="0" documentId="13_ncr:1_{866F1ACE-1515-4463-AB3B-D69854505CC6}" xr6:coauthVersionLast="47" xr6:coauthVersionMax="47" xr10:uidLastSave="{00000000-0000-0000-0000-000000000000}"/>
  <bookViews>
    <workbookView xWindow="-28920" yWindow="-120" windowWidth="29040" windowHeight="17640" tabRatio="758" activeTab="1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1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Sheet'!$BJ$4:$BX$47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2017-2021'!$C$4:$S$107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2017-2021'!$A:$A,'Segment Data 2017-2021'!$1:$3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1" i="1" l="1"/>
  <c r="CX41" i="1"/>
  <c r="CH28" i="2"/>
  <c r="CH25" i="2"/>
  <c r="CH12" i="2"/>
  <c r="AE90" i="7" l="1"/>
  <c r="AE91" i="7" s="1"/>
  <c r="AE89" i="7"/>
  <c r="AE78" i="7" l="1"/>
  <c r="AE77" i="7"/>
  <c r="AE75" i="7"/>
  <c r="AE74" i="7"/>
  <c r="AE73" i="7"/>
  <c r="AE72" i="7"/>
  <c r="CG28" i="2"/>
  <c r="CG25" i="2"/>
  <c r="CG12" i="2"/>
  <c r="CG8" i="2"/>
  <c r="CW15" i="3"/>
  <c r="CW10" i="3"/>
  <c r="CF40" i="2" l="1"/>
  <c r="CF28" i="2"/>
  <c r="CF25" i="2"/>
  <c r="CF12" i="2"/>
  <c r="CF8" i="2"/>
  <c r="CV10" i="3"/>
  <c r="CU10" i="3" l="1"/>
  <c r="CE40" i="2"/>
  <c r="CE28" i="2"/>
  <c r="CE25" i="2"/>
  <c r="CE12" i="2"/>
  <c r="CE8" i="2"/>
  <c r="AD68" i="7" l="1"/>
  <c r="AC68" i="7"/>
  <c r="AB68" i="7"/>
  <c r="AA68" i="7"/>
  <c r="AD67" i="7"/>
  <c r="AC67" i="7"/>
  <c r="AB67" i="7"/>
  <c r="AA67" i="7"/>
  <c r="AD91" i="7"/>
  <c r="CX32" i="1" s="1"/>
  <c r="AC91" i="7"/>
  <c r="CW32" i="1" s="1"/>
  <c r="AB91" i="7"/>
  <c r="CV32" i="1" s="1"/>
  <c r="AD76" i="7"/>
  <c r="AC76" i="7"/>
  <c r="AC79" i="7" s="1"/>
  <c r="AB76" i="7"/>
  <c r="AD64" i="7"/>
  <c r="AC64" i="7"/>
  <c r="AB64" i="7"/>
  <c r="AD59" i="7"/>
  <c r="AC59" i="7"/>
  <c r="AB59" i="7"/>
  <c r="AD54" i="7"/>
  <c r="AC54" i="7"/>
  <c r="AB54" i="7"/>
  <c r="AD47" i="7"/>
  <c r="AD49" i="7" s="1"/>
  <c r="AC47" i="7"/>
  <c r="AC49" i="7" s="1"/>
  <c r="AB47" i="7"/>
  <c r="AB49" i="7" s="1"/>
  <c r="AD39" i="7"/>
  <c r="AC39" i="7"/>
  <c r="AB39" i="7"/>
  <c r="AD30" i="7"/>
  <c r="AD38" i="7" s="1"/>
  <c r="AC30" i="7"/>
  <c r="AC38" i="7" s="1"/>
  <c r="AB30" i="7"/>
  <c r="AB38" i="7" s="1"/>
  <c r="AD20" i="7"/>
  <c r="AD23" i="7" s="1"/>
  <c r="CX24" i="1" s="1"/>
  <c r="AC20" i="7"/>
  <c r="AC23" i="7" s="1"/>
  <c r="CW24" i="1" s="1"/>
  <c r="AB20" i="7"/>
  <c r="AB23" i="7" s="1"/>
  <c r="CV24" i="1" s="1"/>
  <c r="AD10" i="7"/>
  <c r="AD13" i="7" s="1"/>
  <c r="CX5" i="1" s="1"/>
  <c r="AC10" i="7"/>
  <c r="AC13" i="7" s="1"/>
  <c r="CW5" i="1" s="1"/>
  <c r="AB10" i="7"/>
  <c r="AB13" i="7" s="1"/>
  <c r="CV5" i="1" s="1"/>
  <c r="AA91" i="7"/>
  <c r="AA76" i="7"/>
  <c r="AA79" i="7" s="1"/>
  <c r="AA64" i="7"/>
  <c r="AE63" i="7"/>
  <c r="AE62" i="7"/>
  <c r="AA59" i="7"/>
  <c r="AE58" i="7"/>
  <c r="AE57" i="7"/>
  <c r="AA54" i="7"/>
  <c r="AE53" i="7"/>
  <c r="AE52" i="7"/>
  <c r="AE48" i="7"/>
  <c r="AA47" i="7"/>
  <c r="AA49" i="7" s="1"/>
  <c r="AE46" i="7"/>
  <c r="AE45" i="7"/>
  <c r="AE44" i="7"/>
  <c r="AE43" i="7"/>
  <c r="AA39" i="7"/>
  <c r="AE35" i="7"/>
  <c r="AE32" i="7"/>
  <c r="AE31" i="7"/>
  <c r="AA30" i="7"/>
  <c r="AA33" i="7" s="1"/>
  <c r="AE29" i="7"/>
  <c r="AE28" i="7"/>
  <c r="AE27" i="7"/>
  <c r="AE26" i="7"/>
  <c r="AE22" i="7"/>
  <c r="AE21" i="7"/>
  <c r="AA20" i="7"/>
  <c r="AA23" i="7" s="1"/>
  <c r="CU24" i="1" s="1"/>
  <c r="AE19" i="7"/>
  <c r="AE18" i="7"/>
  <c r="AE17" i="7"/>
  <c r="AE16" i="7"/>
  <c r="AE12" i="7"/>
  <c r="AE11" i="7"/>
  <c r="AA10" i="7"/>
  <c r="AA13" i="7" s="1"/>
  <c r="CU5" i="1" s="1"/>
  <c r="AE9" i="7"/>
  <c r="AE8" i="7"/>
  <c r="AE7" i="7"/>
  <c r="AE6" i="7"/>
  <c r="CX19" i="3"/>
  <c r="CW19" i="3"/>
  <c r="CV19" i="3"/>
  <c r="CX11" i="3"/>
  <c r="CX36" i="1" s="1"/>
  <c r="CW11" i="3"/>
  <c r="CV11" i="3"/>
  <c r="CU19" i="3"/>
  <c r="CY18" i="3"/>
  <c r="CY17" i="3"/>
  <c r="CY16" i="3"/>
  <c r="CV37" i="1"/>
  <c r="CY15" i="3"/>
  <c r="CY14" i="3"/>
  <c r="CY13" i="3"/>
  <c r="CU11" i="3"/>
  <c r="CY10" i="3"/>
  <c r="CY7" i="3"/>
  <c r="CY6" i="3"/>
  <c r="CH24" i="2"/>
  <c r="CH30" i="2" s="1"/>
  <c r="CG24" i="2"/>
  <c r="CG30" i="2" s="1"/>
  <c r="CF24" i="2"/>
  <c r="CF30" i="2" s="1"/>
  <c r="CH16" i="2"/>
  <c r="CG16" i="2"/>
  <c r="CF16" i="2"/>
  <c r="CH9" i="2"/>
  <c r="CG9" i="2"/>
  <c r="CF9" i="2"/>
  <c r="CE24" i="2"/>
  <c r="CE30" i="2" s="1"/>
  <c r="CE16" i="2"/>
  <c r="CE9" i="2"/>
  <c r="CX46" i="1"/>
  <c r="CW46" i="1"/>
  <c r="CV46" i="1"/>
  <c r="CU46" i="1"/>
  <c r="CY45" i="1"/>
  <c r="CX37" i="1"/>
  <c r="CW37" i="1"/>
  <c r="CY20" i="1"/>
  <c r="CY18" i="1"/>
  <c r="CY17" i="1"/>
  <c r="CY15" i="1"/>
  <c r="CY13" i="1"/>
  <c r="CY12" i="1"/>
  <c r="CY10" i="1"/>
  <c r="CY9" i="1"/>
  <c r="CY8" i="1"/>
  <c r="CV21" i="3" l="1"/>
  <c r="AD79" i="7"/>
  <c r="AE79" i="7" s="1"/>
  <c r="AE76" i="7"/>
  <c r="AD69" i="7"/>
  <c r="AC33" i="7"/>
  <c r="AB79" i="7"/>
  <c r="CX21" i="3"/>
  <c r="AB40" i="7"/>
  <c r="CV7" i="1" s="1"/>
  <c r="CV11" i="1" s="1"/>
  <c r="CV14" i="1" s="1"/>
  <c r="CV16" i="1" s="1"/>
  <c r="CV19" i="1" s="1"/>
  <c r="CV21" i="1" s="1"/>
  <c r="CF18" i="2"/>
  <c r="AB33" i="7"/>
  <c r="CG18" i="2"/>
  <c r="CV41" i="1" s="1"/>
  <c r="AC40" i="7"/>
  <c r="CW7" i="1" s="1"/>
  <c r="CW11" i="1" s="1"/>
  <c r="CW14" i="1" s="1"/>
  <c r="CW16" i="1" s="1"/>
  <c r="CW19" i="1" s="1"/>
  <c r="CW21" i="1" s="1"/>
  <c r="CG38" i="2" s="1"/>
  <c r="CW21" i="3"/>
  <c r="CH18" i="2"/>
  <c r="CW41" i="1" s="1"/>
  <c r="AD40" i="7"/>
  <c r="CX7" i="1" s="1"/>
  <c r="CX11" i="1" s="1"/>
  <c r="CX14" i="1" s="1"/>
  <c r="CX16" i="1" s="1"/>
  <c r="CX19" i="1" s="1"/>
  <c r="CX21" i="1" s="1"/>
  <c r="AE67" i="7"/>
  <c r="CU21" i="3"/>
  <c r="CE18" i="2"/>
  <c r="AA69" i="7"/>
  <c r="AE68" i="7"/>
  <c r="AC69" i="7"/>
  <c r="AB69" i="7"/>
  <c r="AE20" i="7"/>
  <c r="AE23" i="7" s="1"/>
  <c r="AD33" i="7"/>
  <c r="AE39" i="7"/>
  <c r="CY24" i="1"/>
  <c r="AE64" i="7"/>
  <c r="AE59" i="7"/>
  <c r="AE54" i="7"/>
  <c r="AE47" i="7"/>
  <c r="AE49" i="7" s="1"/>
  <c r="AE30" i="7"/>
  <c r="AE33" i="7" s="1"/>
  <c r="AE10" i="7"/>
  <c r="AE13" i="7" s="1"/>
  <c r="CY5" i="1"/>
  <c r="AA38" i="7"/>
  <c r="CY11" i="3"/>
  <c r="CW36" i="1"/>
  <c r="CY19" i="3"/>
  <c r="CY37" i="1"/>
  <c r="CU41" i="1"/>
  <c r="CR37" i="1"/>
  <c r="CC28" i="2"/>
  <c r="CC25" i="2"/>
  <c r="CC24" i="2"/>
  <c r="CC12" i="2"/>
  <c r="CC16" i="2" s="1"/>
  <c r="CC9" i="2"/>
  <c r="CR19" i="3"/>
  <c r="CR11" i="3"/>
  <c r="CR36" i="1" s="1"/>
  <c r="Y76" i="7"/>
  <c r="Y79" i="7" s="1"/>
  <c r="Y91" i="7"/>
  <c r="X91" i="7"/>
  <c r="X76" i="7"/>
  <c r="X79" i="7" s="1"/>
  <c r="X68" i="7"/>
  <c r="X67" i="7"/>
  <c r="W68" i="7"/>
  <c r="W67" i="7"/>
  <c r="X64" i="7"/>
  <c r="X59" i="7"/>
  <c r="X54" i="7"/>
  <c r="X47" i="7"/>
  <c r="X49" i="7" s="1"/>
  <c r="X40" i="7"/>
  <c r="CR7" i="1" s="1"/>
  <c r="CR11" i="1" s="1"/>
  <c r="CR14" i="1" s="1"/>
  <c r="CR16" i="1" s="1"/>
  <c r="CR19" i="1" s="1"/>
  <c r="CR21" i="1" s="1"/>
  <c r="X30" i="7"/>
  <c r="X33" i="7" s="1"/>
  <c r="X20" i="7"/>
  <c r="X23" i="7" s="1"/>
  <c r="CR24" i="1" s="1"/>
  <c r="Y9" i="7"/>
  <c r="Y8" i="7"/>
  <c r="Y7" i="7"/>
  <c r="Y6" i="7"/>
  <c r="X10" i="7"/>
  <c r="X13" i="7" s="1"/>
  <c r="CR5" i="1" s="1"/>
  <c r="CF38" i="2" l="1"/>
  <c r="W69" i="7"/>
  <c r="CC18" i="2"/>
  <c r="CR30" i="1" s="1"/>
  <c r="CR41" i="1" s="1"/>
  <c r="CC30" i="2"/>
  <c r="AE69" i="7"/>
  <c r="AE38" i="7"/>
  <c r="AE40" i="7" s="1"/>
  <c r="AA40" i="7"/>
  <c r="CU7" i="1" s="1"/>
  <c r="CY21" i="3"/>
  <c r="CV36" i="1"/>
  <c r="CY36" i="1" s="1"/>
  <c r="Y10" i="7"/>
  <c r="CR21" i="3"/>
  <c r="X69" i="7"/>
  <c r="CB28" i="2"/>
  <c r="CB25" i="2"/>
  <c r="CB24" i="2"/>
  <c r="CB12" i="2"/>
  <c r="CB16" i="2" s="1"/>
  <c r="CB8" i="2"/>
  <c r="CB9" i="2" s="1"/>
  <c r="CQ15" i="3"/>
  <c r="CQ37" i="1" s="1"/>
  <c r="CQ10" i="3"/>
  <c r="CQ11" i="3" s="1"/>
  <c r="W91" i="7"/>
  <c r="W64" i="7"/>
  <c r="W59" i="7"/>
  <c r="W76" i="7"/>
  <c r="W79" i="7" s="1"/>
  <c r="W54" i="7"/>
  <c r="W47" i="7"/>
  <c r="W49" i="7" s="1"/>
  <c r="W40" i="7"/>
  <c r="CQ7" i="1" s="1"/>
  <c r="W30" i="7"/>
  <c r="W33" i="7" s="1"/>
  <c r="W20" i="7"/>
  <c r="W23" i="7" s="1"/>
  <c r="CQ24" i="1" s="1"/>
  <c r="W10" i="7"/>
  <c r="W13" i="7" s="1"/>
  <c r="CQ5" i="1" s="1"/>
  <c r="CY7" i="1" l="1"/>
  <c r="CY11" i="1" s="1"/>
  <c r="CY14" i="1" s="1"/>
  <c r="CY16" i="1" s="1"/>
  <c r="CY19" i="1" s="1"/>
  <c r="CY21" i="1" s="1"/>
  <c r="CU11" i="1"/>
  <c r="CU14" i="1" s="1"/>
  <c r="CU16" i="1" s="1"/>
  <c r="CU19" i="1" s="1"/>
  <c r="CE38" i="2" s="1"/>
  <c r="CQ11" i="1"/>
  <c r="CQ14" i="1" s="1"/>
  <c r="CQ16" i="1" s="1"/>
  <c r="CQ19" i="1" s="1"/>
  <c r="CQ21" i="1" s="1"/>
  <c r="CB30" i="2"/>
  <c r="CB18" i="2"/>
  <c r="CQ30" i="1" s="1"/>
  <c r="CQ41" i="1" s="1"/>
  <c r="CQ36" i="1"/>
  <c r="CQ19" i="3"/>
  <c r="CQ21" i="3" s="1"/>
  <c r="CP10" i="3"/>
  <c r="CA28" i="2"/>
  <c r="CA25" i="2"/>
  <c r="CU21" i="1" l="1"/>
  <c r="CA12" i="2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S91" i="7" l="1"/>
  <c r="M91" i="7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3" i="7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 l="1"/>
  <c r="BW7" i="6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2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I24" i="2"/>
  <c r="BI30" i="2" s="1"/>
  <c r="BI15" i="2"/>
  <c r="BI16" i="2" s="1"/>
  <c r="BI9" i="2"/>
  <c r="BW36" i="1" l="1"/>
  <c r="CA36" i="1" s="1"/>
  <c r="BI18" i="2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26" i="4"/>
  <c r="BS27" i="4"/>
  <c r="BS24" i="4"/>
  <c r="BS13" i="4"/>
  <c r="BS16" i="4" s="1"/>
  <c r="BG41" i="2"/>
  <c r="BF41" i="2"/>
  <c r="BS39" i="4" l="1"/>
  <c r="BS25" i="4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H30" i="2" s="1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D18" i="2" s="1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O16" i="4"/>
  <c r="AO25" i="4" s="1"/>
  <c r="P41" i="4"/>
  <c r="E41" i="4"/>
  <c r="W16" i="4"/>
  <c r="W24" i="1" s="1"/>
  <c r="K41" i="4"/>
  <c r="AW6" i="3"/>
  <c r="BC31" i="4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BC41" i="4" l="1"/>
  <c r="AO39" i="4"/>
  <c r="BL21" i="1"/>
  <c r="I39" i="4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R26" i="6" s="1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W42" i="4"/>
  <c r="AW41" i="4"/>
  <c r="BI38" i="4"/>
  <c r="BI39" i="4" s="1"/>
  <c r="Q79" i="4"/>
  <c r="I79" i="4"/>
  <c r="AE42" i="4"/>
  <c r="W39" i="4"/>
  <c r="K39" i="4"/>
  <c r="AQ13" i="4"/>
  <c r="AQ39" i="4" s="1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AK21" i="3" s="1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Z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U26" i="6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AG36" i="6"/>
  <c r="E26" i="6"/>
  <c r="E28" i="6" s="1"/>
  <c r="AO21" i="1"/>
  <c r="AW38" i="2"/>
  <c r="BF21" i="1"/>
  <c r="R36" i="6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AW21" i="3" l="1"/>
  <c r="S21" i="3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28" i="6"/>
  <c r="U32" i="6" s="1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AB28" i="6"/>
  <c r="AB32" i="6" s="1"/>
  <c r="X28" i="6"/>
  <c r="X32" i="6" s="1"/>
  <c r="X33" i="6"/>
  <c r="J28" i="6"/>
  <c r="J32" i="6" s="1"/>
  <c r="J33" i="6"/>
  <c r="N33" i="6" l="1"/>
  <c r="BC33" i="6"/>
  <c r="BC24" i="1"/>
  <c r="AQ25" i="4"/>
  <c r="Y33" i="6"/>
  <c r="C37" i="2"/>
  <c r="C47" i="2" s="1"/>
  <c r="D35" i="2" s="1"/>
  <c r="D37" i="2" s="1"/>
  <c r="D47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7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7" i="2" s="1"/>
  <c r="H35" i="2" s="1"/>
  <c r="H37" i="2" s="1"/>
  <c r="H47" i="2" s="1"/>
  <c r="I35" i="2" s="1"/>
  <c r="I37" i="2" s="1"/>
  <c r="I47" i="2" s="1"/>
  <c r="J35" i="2" s="1"/>
  <c r="J37" i="2" s="1"/>
  <c r="J47" i="2" s="1"/>
  <c r="K35" i="2" s="1"/>
  <c r="K37" i="2" s="1"/>
  <c r="K47" i="2" s="1"/>
  <c r="M35" i="2" s="1"/>
  <c r="M37" i="2" s="1"/>
  <c r="M47" i="2" s="1"/>
  <c r="N35" i="2" s="1"/>
  <c r="N37" i="2" s="1"/>
  <c r="N47" i="2" s="1"/>
  <c r="O35" i="2" s="1"/>
  <c r="O37" i="2" s="1"/>
  <c r="O47" i="2" s="1"/>
  <c r="P35" i="2" s="1"/>
  <c r="P37" i="2" s="1"/>
  <c r="P47" i="2" s="1"/>
  <c r="R35" i="2" s="1"/>
  <c r="R37" i="2" s="1"/>
  <c r="R47" i="2" s="1"/>
  <c r="S35" i="2" s="1"/>
  <c r="S37" i="2" s="1"/>
  <c r="S47" i="2" s="1"/>
  <c r="T35" i="2" s="1"/>
  <c r="T37" i="2" s="1"/>
  <c r="T47" i="2" s="1"/>
  <c r="U35" i="2" s="1"/>
  <c r="U37" i="2" s="1"/>
  <c r="U47" i="2" s="1"/>
  <c r="W35" i="2" s="1"/>
  <c r="W37" i="2" s="1"/>
  <c r="W47" i="2" s="1"/>
  <c r="X35" i="2" s="1"/>
  <c r="X37" i="2" s="1"/>
  <c r="X47" i="2" s="1"/>
  <c r="Y35" i="2" s="1"/>
  <c r="Y37" i="2" s="1"/>
  <c r="Y47" i="2" s="1"/>
  <c r="Z35" i="2" s="1"/>
  <c r="Z37" i="2" s="1"/>
  <c r="Z47" i="2" s="1"/>
  <c r="AB35" i="2" s="1"/>
  <c r="AB37" i="2" s="1"/>
  <c r="AB47" i="2" s="1"/>
  <c r="AC35" i="2" s="1"/>
  <c r="AC37" i="2" s="1"/>
  <c r="AC47" i="2" s="1"/>
  <c r="AD35" i="2" s="1"/>
  <c r="AD37" i="2" s="1"/>
  <c r="AD47" i="2" s="1"/>
  <c r="AE35" i="2" s="1"/>
  <c r="AE37" i="2" s="1"/>
  <c r="AE47" i="2" s="1"/>
  <c r="AG35" i="2" s="1"/>
  <c r="AG37" i="2" s="1"/>
  <c r="AG47" i="2" s="1"/>
  <c r="AH35" i="2" s="1"/>
  <c r="AH37" i="2" s="1"/>
  <c r="AH47" i="2" s="1"/>
  <c r="AI35" i="2" s="1"/>
  <c r="AI37" i="2" s="1"/>
  <c r="AI47" i="2" s="1"/>
  <c r="AJ35" i="2" s="1"/>
  <c r="AJ37" i="2" s="1"/>
  <c r="AJ47" i="2" s="1"/>
  <c r="AL35" i="2" s="1"/>
  <c r="AL37" i="2" s="1"/>
  <c r="AL47" i="2" s="1"/>
  <c r="AM35" i="2" s="1"/>
  <c r="AM37" i="2" s="1"/>
  <c r="AM47" i="2" s="1"/>
  <c r="AN35" i="2" s="1"/>
  <c r="AN37" i="2" s="1"/>
  <c r="AN47" i="2" s="1"/>
  <c r="AO35" i="2" s="1"/>
  <c r="AO37" i="2" s="1"/>
  <c r="AO47" i="2" s="1"/>
  <c r="AQ35" i="2" s="1"/>
  <c r="AQ37" i="2" s="1"/>
  <c r="AQ47" i="2" s="1"/>
  <c r="AR35" i="2" s="1"/>
  <c r="AR37" i="2" s="1"/>
  <c r="AR47" i="2" s="1"/>
  <c r="AS35" i="2" s="1"/>
  <c r="AS37" i="2" s="1"/>
  <c r="AS47" i="2" s="1"/>
  <c r="AT35" i="2" s="1"/>
  <c r="AT37" i="2" s="1"/>
  <c r="AT47" i="2" s="1"/>
  <c r="AV35" i="2" s="1"/>
  <c r="AV37" i="2" s="1"/>
  <c r="AV47" i="2" s="1"/>
  <c r="AW35" i="2" s="1"/>
  <c r="AW37" i="2" s="1"/>
  <c r="AW47" i="2" s="1"/>
  <c r="AX35" i="2" s="1"/>
  <c r="AX37" i="2" s="1"/>
  <c r="AX47" i="2" s="1"/>
  <c r="AY35" i="2" s="1"/>
  <c r="AY37" i="2" s="1"/>
  <c r="AY47" i="2" s="1"/>
  <c r="BA35" i="2" s="1"/>
  <c r="BA37" i="2" s="1"/>
  <c r="BA47" i="2" s="1"/>
  <c r="BB35" i="2" s="1"/>
  <c r="BB37" i="2" s="1"/>
  <c r="BB47" i="2" s="1"/>
  <c r="BC35" i="2" s="1"/>
  <c r="BC37" i="2" s="1"/>
  <c r="BC47" i="2" s="1"/>
  <c r="BD35" i="2" s="1"/>
  <c r="BD37" i="2" s="1"/>
  <c r="BD47" i="2" s="1"/>
  <c r="BF35" i="2" s="1"/>
  <c r="BF37" i="2" s="1"/>
  <c r="BF47" i="2" s="1"/>
  <c r="BG35" i="2" s="1"/>
  <c r="BG37" i="2" s="1"/>
  <c r="BG47" i="2" s="1"/>
  <c r="BH35" i="2" s="1"/>
  <c r="BH37" i="2" s="1"/>
  <c r="BH47" i="2" s="1"/>
  <c r="BI35" i="2" s="1"/>
  <c r="BI37" i="2" s="1"/>
  <c r="BI47" i="2" s="1"/>
  <c r="BK35" i="2" s="1"/>
  <c r="BK37" i="2" s="1"/>
  <c r="BK47" i="2" s="1"/>
  <c r="BL35" i="2" s="1"/>
  <c r="BL37" i="2" s="1"/>
  <c r="BL47" i="2" s="1"/>
  <c r="BM35" i="2" l="1"/>
  <c r="BM37" i="2" s="1"/>
  <c r="BM47" i="2" s="1"/>
  <c r="BN35" i="2" l="1"/>
  <c r="BN37" i="2" s="1"/>
  <c r="BN47" i="2" s="1"/>
  <c r="BP35" i="2" l="1"/>
  <c r="BP37" i="2" s="1"/>
  <c r="BP47" i="2" s="1"/>
  <c r="BQ35" i="2" l="1"/>
  <c r="BQ37" i="2" s="1"/>
  <c r="BQ47" i="2" s="1"/>
  <c r="BR35" i="2" l="1"/>
  <c r="BR37" i="2" s="1"/>
  <c r="BR47" i="2" s="1"/>
  <c r="BS35" i="2" l="1"/>
  <c r="BS37" i="2" s="1"/>
  <c r="BS47" i="2" s="1"/>
  <c r="BU35" i="2" s="1"/>
  <c r="BU37" i="2" s="1"/>
  <c r="BU47" i="2" s="1"/>
  <c r="BV35" i="2" s="1"/>
  <c r="BV37" i="2" s="1"/>
  <c r="BV47" i="2" s="1"/>
  <c r="BW35" i="2" l="1"/>
  <c r="BW37" i="2" s="1"/>
  <c r="BW47" i="2" s="1"/>
  <c r="BX35" i="2" s="1"/>
  <c r="BX37" i="2" s="1"/>
  <c r="BX47" i="2" s="1"/>
  <c r="M8" i="7"/>
  <c r="M7" i="7"/>
  <c r="L10" i="7"/>
  <c r="L13" i="7" s="1"/>
  <c r="M6" i="7"/>
  <c r="M9" i="7"/>
  <c r="BZ35" i="2" l="1"/>
  <c r="BZ37" i="2" s="1"/>
  <c r="BZ47" i="2" s="1"/>
  <c r="CA35" i="2" s="1"/>
  <c r="CA37" i="2" s="1"/>
  <c r="M10" i="7"/>
  <c r="M13" i="7" s="1"/>
  <c r="F59" i="7"/>
  <c r="G58" i="7"/>
  <c r="G57" i="7"/>
  <c r="F64" i="7"/>
  <c r="G62" i="7"/>
  <c r="G63" i="7"/>
  <c r="CA47" i="2" l="1"/>
  <c r="CB35" i="2" s="1"/>
  <c r="CB37" i="2" s="1"/>
  <c r="CB47" i="2" s="1"/>
  <c r="CC35" i="2" s="1"/>
  <c r="CC37" i="2" s="1"/>
  <c r="CC47" i="2" s="1"/>
  <c r="CE35" i="2" s="1"/>
  <c r="CE37" i="2" s="1"/>
  <c r="CE47" i="2" s="1"/>
  <c r="G64" i="7"/>
  <c r="G59" i="7"/>
  <c r="CF35" i="2" l="1"/>
  <c r="CF37" i="2" s="1"/>
  <c r="CF47" i="2" s="1"/>
  <c r="CG35" i="2" l="1"/>
  <c r="CG37" i="2" s="1"/>
  <c r="CG47" i="2" s="1"/>
  <c r="CH35" i="2" s="1"/>
  <c r="CH37" i="2" l="1"/>
  <c r="CH4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<sst xmlns="http://schemas.openxmlformats.org/spreadsheetml/2006/main" count="786" uniqueCount="205">
  <si>
    <t>Revenue</t>
  </si>
  <si>
    <t>EBITDA</t>
  </si>
  <si>
    <t>EBIT</t>
  </si>
  <si>
    <t>EBITA</t>
  </si>
  <si>
    <t>Financial items (net)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</si>
  <si>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</si>
  <si>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</si>
  <si>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</si>
  <si>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</si>
  <si>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</si>
  <si>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</si>
  <si>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</si>
  <si>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</si>
  <si>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</si>
  <si>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</si>
  <si>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</si>
  <si>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</si>
  <si>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</si>
  <si>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</si>
  <si>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</si>
  <si>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</si>
  <si>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</si>
  <si>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</si>
  <si>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</si>
  <si>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</si>
  <si>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</si>
  <si>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</si>
  <si>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</si>
  <si>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</si>
  <si>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</si>
  <si>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</si>
  <si>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</si>
  <si>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</si>
  <si>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</si>
  <si>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</si>
  <si>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</si>
  <si>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</si>
  <si>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</si>
  <si>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</si>
  <si>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</si>
  <si>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</si>
  <si>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</si>
  <si>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</si>
  <si>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</si>
  <si>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</si>
  <si>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</si>
  <si>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</si>
  <si>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</si>
  <si>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</si>
  <si>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</si>
  <si>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</si>
  <si>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</si>
  <si>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</si>
  <si>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</si>
  <si>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</si>
  <si>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</si>
  <si>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</si>
  <si>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</si>
  <si>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</si>
  <si>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</si>
  <si>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</si>
  <si>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</si>
  <si>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</si>
  <si>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</si>
  <si>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</si>
  <si>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</si>
  <si>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</si>
  <si>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</si>
  <si>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</si>
  <si>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</si>
  <si>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</si>
  <si>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</si>
  <si>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</si>
  <si>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</si>
  <si>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</si>
  <si>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</si>
  <si>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</si>
  <si>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</si>
  <si>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</si>
  <si>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</si>
  <si>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</si>
  <si>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</si>
  <si>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</si>
  <si>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</si>
  <si>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</si>
  <si>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</si>
  <si>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</si>
  <si>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</si>
  <si>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</si>
  <si>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</si>
  <si>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</si>
  <si>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</si>
  <si>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</si>
  <si>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</si>
  <si>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</si>
  <si>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</si>
  <si>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</si>
  <si>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</si>
  <si>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</si>
  <si>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</si>
  <si>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</si>
  <si>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</si>
  <si>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</si>
  <si>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</si>
  <si>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</si>
  <si>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</si>
  <si>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</si>
  <si>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</si>
  <si>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</si>
  <si>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</si>
  <si>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</si>
  <si>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</si>
  <si>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</si>
  <si>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</si>
  <si>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</si>
  <si>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</si>
  <si>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</si>
  <si>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</si>
  <si>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</si>
  <si>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</si>
  <si>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</si>
  <si>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</si>
  <si>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</si>
  <si>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</si>
  <si>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</si>
  <si>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</si>
  <si>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</si>
  <si>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</si>
  <si>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</si>
  <si>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</si>
  <si>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</si>
  <si>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</si>
  <si>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</si>
  <si>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</si>
  <si>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</si>
  <si>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</si>
  <si>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</si>
  <si>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</si>
  <si>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</si>
  <si>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</si>
  <si>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</si>
  <si>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</si>
  <si>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</si>
  <si>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</si>
  <si>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</si>
  <si>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</si>
  <si>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</si>
  <si>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</si>
  <si>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</si>
  <si>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</si>
  <si>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</si>
  <si>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</si>
  <si>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</si>
  <si>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</si>
  <si>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</si>
  <si>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</si>
  <si>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</si>
  <si>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</si>
  <si>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</si>
  <si>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</si>
  <si>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</si>
  <si>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</si>
  <si>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</si>
  <si>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</si>
  <si>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</si>
  <si>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</si>
  <si>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</si>
  <si>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</si>
  <si>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</si>
  <si>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</si>
  <si>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</si>
  <si>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</si>
  <si>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</si>
  <si>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</si>
  <si>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</si>
  <si>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</si>
  <si>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</si>
  <si>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</si>
  <si>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</si>
  <si>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</si>
  <si>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</si>
  <si>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</si>
  <si>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</si>
  <si>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</si>
  <si>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</si>
  <si>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</si>
  <si>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</si>
  <si>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</si>
  <si>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</si>
  <si>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</si>
  <si>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</si>
  <si>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</si>
  <si>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</si>
  <si>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</si>
  <si>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</si>
  <si>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</si>
  <si>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</si>
  <si>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</si>
  <si>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</si>
  <si>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</si>
  <si>
    <t>2021</t>
  </si>
  <si>
    <t>Average numbers of employees</t>
  </si>
  <si>
    <t>-0.0</t>
  </si>
  <si>
    <t>EBT</t>
  </si>
  <si>
    <t>Net interest-bearing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</si>
</sst>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Border="1"/>
    <xf numFmtId="0" fontId="2" fillId="0" borderId="0" xfId="0" applyFont="1"/>
    <xf numFmtId="37" fontId="2" fillId="0" borderId="0" xfId="0" applyNumberFormat="1" applyFont="1" applyFill="1" applyBorder="1"/>
    <xf numFmtId="37" fontId="4" fillId="0" borderId="0" xfId="0" applyNumberFormat="1" applyFont="1"/>
    <xf numFmtId="37" fontId="4" fillId="0" borderId="0" xfId="0" applyNumberFormat="1" applyFont="1" applyFill="1"/>
    <xf numFmtId="10" fontId="4" fillId="0" borderId="0" xfId="0" applyNumberFormat="1" applyFont="1"/>
    <xf numFmtId="9" fontId="4" fillId="0" borderId="0" xfId="2" applyFont="1"/>
    <xf numFmtId="9" fontId="4" fillId="3" borderId="0" xfId="2" applyFont="1" applyFill="1"/>
    <xf numFmtId="9" fontId="4" fillId="0" borderId="0" xfId="2" applyFont="1" applyFill="1"/>
    <xf numFmtId="168" fontId="4" fillId="0" borderId="0" xfId="1" applyNumberFormat="1" applyFont="1" applyFill="1"/>
    <xf numFmtId="168" fontId="4" fillId="0" borderId="0" xfId="1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3" borderId="0" xfId="0" applyNumberFormat="1" applyFont="1" applyFill="1"/>
    <xf numFmtId="1" fontId="4" fillId="0" borderId="0" xfId="0" applyNumberFormat="1" applyFont="1" applyFill="1"/>
    <xf numFmtId="37" fontId="4" fillId="3" borderId="0" xfId="0" applyNumberFormat="1" applyFont="1" applyFill="1"/>
    <xf numFmtId="164" fontId="4" fillId="0" borderId="0" xfId="1" applyFont="1"/>
    <xf numFmtId="168" fontId="4" fillId="0" borderId="0" xfId="0" applyNumberFormat="1" applyFont="1"/>
    <xf numFmtId="169" fontId="4" fillId="0" borderId="0" xfId="0" applyNumberFormat="1" applyFont="1"/>
    <xf numFmtId="37" fontId="4" fillId="0" borderId="0" xfId="0" applyNumberFormat="1" applyFont="1" applyFill="1" applyBorder="1"/>
    <xf numFmtId="9" fontId="4" fillId="0" borderId="0" xfId="0" applyNumberFormat="1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166" fontId="2" fillId="0" borderId="0" xfId="2" applyNumberFormat="1" applyFont="1" applyBorder="1"/>
    <xf numFmtId="166" fontId="2" fillId="0" borderId="0" xfId="2" applyNumberFormat="1" applyFont="1" applyFill="1" applyBorder="1"/>
    <xf numFmtId="0" fontId="4" fillId="4" borderId="0" xfId="0" applyFont="1" applyFill="1"/>
    <xf numFmtId="170" fontId="4" fillId="0" borderId="0" xfId="0" applyNumberFormat="1" applyFont="1"/>
    <xf numFmtId="167" fontId="4" fillId="0" borderId="0" xfId="0" applyNumberFormat="1" applyFont="1"/>
    <xf numFmtId="167" fontId="4" fillId="0" borderId="0" xfId="0" applyNumberFormat="1" applyFont="1" applyFill="1"/>
    <xf numFmtId="37" fontId="2" fillId="0" borderId="0" xfId="0" quotePrefix="1" applyNumberFormat="1" applyFont="1"/>
    <xf numFmtId="37" fontId="4" fillId="0" borderId="0" xfId="0" quotePrefix="1" applyNumberFormat="1" applyFont="1"/>
    <xf numFmtId="0" fontId="2" fillId="6" borderId="0" xfId="0" applyFont="1" applyFill="1"/>
    <xf numFmtId="37" fontId="2" fillId="6" borderId="0" xfId="0" applyNumberFormat="1" applyFont="1" applyFill="1"/>
    <xf numFmtId="9" fontId="2" fillId="6" borderId="0" xfId="2" applyFont="1" applyFill="1"/>
    <xf numFmtId="165" fontId="2" fillId="6" borderId="0" xfId="0" applyNumberFormat="1" applyFont="1" applyFill="1"/>
    <xf numFmtId="37" fontId="4" fillId="6" borderId="0" xfId="0" applyNumberFormat="1" applyFont="1" applyFill="1"/>
    <xf numFmtId="9" fontId="4" fillId="6" borderId="0" xfId="2" applyFont="1" applyFill="1"/>
    <xf numFmtId="0" fontId="2" fillId="0" borderId="2" xfId="0" applyFont="1" applyBorder="1"/>
    <xf numFmtId="0" fontId="2" fillId="0" borderId="2" xfId="0" applyFont="1" applyFill="1" applyBorder="1"/>
    <xf numFmtId="37" fontId="2" fillId="6" borderId="0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4" xfId="0" applyFont="1" applyBorder="1"/>
    <xf numFmtId="0" fontId="2" fillId="0" borderId="5" xfId="0" applyFont="1" applyBorder="1"/>
    <xf numFmtId="0" fontId="2" fillId="0" borderId="5" xfId="0" applyFont="1" applyFill="1" applyBorder="1"/>
    <xf numFmtId="37" fontId="2" fillId="0" borderId="5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4" fillId="0" borderId="5" xfId="0" applyFont="1" applyBorder="1"/>
    <xf numFmtId="0" fontId="4" fillId="6" borderId="0" xfId="0" applyFont="1" applyFill="1"/>
    <xf numFmtId="37" fontId="2" fillId="6" borderId="3" xfId="0" applyNumberFormat="1" applyFont="1" applyFill="1" applyBorder="1"/>
    <xf numFmtId="0" fontId="2" fillId="0" borderId="7" xfId="0" applyFont="1" applyBorder="1"/>
    <xf numFmtId="37" fontId="2" fillId="0" borderId="7" xfId="0" applyNumberFormat="1" applyFont="1" applyFill="1" applyBorder="1"/>
    <xf numFmtId="37" fontId="2" fillId="0" borderId="7" xfId="0" applyNumberFormat="1" applyFont="1" applyBorder="1"/>
    <xf numFmtId="37" fontId="2" fillId="6" borderId="7" xfId="0" applyNumberFormat="1" applyFont="1" applyFill="1" applyBorder="1"/>
    <xf numFmtId="0" fontId="4" fillId="0" borderId="3" xfId="0" applyFont="1" applyBorder="1"/>
    <xf numFmtId="37" fontId="4" fillId="0" borderId="3" xfId="0" applyNumberFormat="1" applyFont="1" applyBorder="1"/>
    <xf numFmtId="37" fontId="4" fillId="0" borderId="3" xfId="0" applyNumberFormat="1" applyFont="1" applyFill="1" applyBorder="1"/>
    <xf numFmtId="0" fontId="2" fillId="0" borderId="3" xfId="0" applyFont="1" applyBorder="1"/>
    <xf numFmtId="166" fontId="2" fillId="6" borderId="0" xfId="2" applyNumberFormat="1" applyFont="1" applyFill="1" applyBorder="1"/>
    <xf numFmtId="37" fontId="4" fillId="3" borderId="3" xfId="0" applyNumberFormat="1" applyFont="1" applyFill="1" applyBorder="1"/>
    <xf numFmtId="0" fontId="2" fillId="0" borderId="3" xfId="0" applyFont="1" applyFill="1" applyBorder="1"/>
    <xf numFmtId="166" fontId="2" fillId="0" borderId="3" xfId="2" applyNumberFormat="1" applyFont="1" applyBorder="1"/>
    <xf numFmtId="166" fontId="2" fillId="6" borderId="3" xfId="2" applyNumberFormat="1" applyFont="1" applyFill="1" applyBorder="1"/>
    <xf numFmtId="166" fontId="2" fillId="0" borderId="3" xfId="2" applyNumberFormat="1" applyFont="1" applyFill="1" applyBorder="1"/>
    <xf numFmtId="0" fontId="11" fillId="0" borderId="0" xfId="0" applyFont="1"/>
    <xf numFmtId="167" fontId="4" fillId="6" borderId="0" xfId="0" applyNumberFormat="1" applyFont="1" applyFill="1"/>
    <xf numFmtId="37" fontId="4" fillId="6" borderId="3" xfId="0" applyNumberFormat="1" applyFont="1" applyFill="1" applyBorder="1"/>
    <xf numFmtId="170" fontId="2" fillId="0" borderId="2" xfId="0" applyNumberFormat="1" applyFont="1" applyBorder="1"/>
    <xf numFmtId="170" fontId="2" fillId="6" borderId="2" xfId="0" applyNumberFormat="1" applyFont="1" applyFill="1" applyBorder="1"/>
    <xf numFmtId="170" fontId="2" fillId="6" borderId="0" xfId="0" applyNumberFormat="1" applyFont="1" applyFill="1"/>
    <xf numFmtId="170" fontId="2" fillId="0" borderId="0" xfId="0" applyNumberFormat="1" applyFont="1"/>
    <xf numFmtId="170" fontId="4" fillId="0" borderId="4" xfId="0" applyNumberFormat="1" applyFont="1" applyBorder="1"/>
    <xf numFmtId="170" fontId="2" fillId="6" borderId="4" xfId="0" applyNumberFormat="1" applyFont="1" applyFill="1" applyBorder="1"/>
    <xf numFmtId="170" fontId="2" fillId="0" borderId="5" xfId="0" applyNumberFormat="1" applyFont="1" applyBorder="1"/>
    <xf numFmtId="170" fontId="2" fillId="6" borderId="5" xfId="0" applyNumberFormat="1" applyFont="1" applyFill="1" applyBorder="1"/>
    <xf numFmtId="170" fontId="4" fillId="6" borderId="4" xfId="0" applyNumberFormat="1" applyFont="1" applyFill="1" applyBorder="1"/>
    <xf numFmtId="170" fontId="4" fillId="0" borderId="5" xfId="0" applyNumberFormat="1" applyFont="1" applyBorder="1"/>
    <xf numFmtId="170" fontId="4" fillId="6" borderId="5" xfId="0" applyNumberFormat="1" applyFont="1" applyFill="1" applyBorder="1"/>
    <xf numFmtId="170" fontId="4" fillId="6" borderId="0" xfId="0" applyNumberFormat="1" applyFont="1" applyFill="1"/>
    <xf numFmtId="170" fontId="4" fillId="0" borderId="0" xfId="0" applyNumberFormat="1" applyFont="1" applyFill="1"/>
    <xf numFmtId="170" fontId="4" fillId="0" borderId="4" xfId="0" applyNumberFormat="1" applyFont="1" applyFill="1" applyBorder="1"/>
    <xf numFmtId="170" fontId="2" fillId="0" borderId="0" xfId="0" applyNumberFormat="1" applyFont="1" applyBorder="1"/>
    <xf numFmtId="170" fontId="2" fillId="6" borderId="0" xfId="0" applyNumberFormat="1" applyFont="1" applyFill="1" applyBorder="1"/>
    <xf numFmtId="170" fontId="3" fillId="0" borderId="2" xfId="0" applyNumberFormat="1" applyFont="1" applyFill="1" applyBorder="1" applyAlignment="1">
      <alignment horizontal="right"/>
    </xf>
    <xf numFmtId="170" fontId="2" fillId="6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/>
    <xf numFmtId="170" fontId="4" fillId="0" borderId="2" xfId="0" applyNumberFormat="1" applyFont="1" applyBorder="1"/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/>
    <xf numFmtId="165" fontId="4" fillId="6" borderId="0" xfId="0" applyNumberFormat="1" applyFont="1" applyFill="1"/>
    <xf numFmtId="165" fontId="4" fillId="0" borderId="4" xfId="0" applyNumberFormat="1" applyFont="1" applyBorder="1"/>
    <xf numFmtId="165" fontId="2" fillId="0" borderId="4" xfId="0" applyNumberFormat="1" applyFont="1" applyBorder="1"/>
    <xf numFmtId="165" fontId="4" fillId="0" borderId="5" xfId="0" applyNumberFormat="1" applyFont="1" applyBorder="1"/>
    <xf numFmtId="165" fontId="2" fillId="0" borderId="5" xfId="0" applyNumberFormat="1" applyFont="1" applyBorder="1"/>
    <xf numFmtId="165" fontId="4" fillId="0" borderId="6" xfId="0" applyNumberFormat="1" applyFont="1" applyBorder="1"/>
    <xf numFmtId="165" fontId="2" fillId="0" borderId="6" xfId="0" applyNumberFormat="1" applyFont="1" applyBorder="1"/>
    <xf numFmtId="165" fontId="4" fillId="0" borderId="0" xfId="0" applyNumberFormat="1" applyFont="1" applyBorder="1"/>
    <xf numFmtId="165" fontId="6" fillId="0" borderId="0" xfId="0" applyNumberFormat="1" applyFont="1" applyFill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/>
    <xf numFmtId="165" fontId="7" fillId="0" borderId="0" xfId="0" applyNumberFormat="1" applyFont="1" applyFill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0" borderId="7" xfId="0" applyNumberFormat="1" applyFont="1" applyBorder="1"/>
    <xf numFmtId="165" fontId="2" fillId="6" borderId="7" xfId="0" applyNumberFormat="1" applyFont="1" applyFill="1" applyBorder="1"/>
    <xf numFmtId="165" fontId="2" fillId="0" borderId="7" xfId="0" applyNumberFormat="1" applyFont="1" applyFill="1" applyBorder="1"/>
    <xf numFmtId="165" fontId="4" fillId="0" borderId="7" xfId="0" applyNumberFormat="1" applyFont="1" applyBorder="1"/>
    <xf numFmtId="165" fontId="4" fillId="0" borderId="3" xfId="0" applyNumberFormat="1" applyFont="1" applyBorder="1"/>
    <xf numFmtId="165" fontId="2" fillId="6" borderId="3" xfId="0" applyNumberFormat="1" applyFont="1" applyFill="1" applyBorder="1"/>
    <xf numFmtId="165" fontId="4" fillId="0" borderId="3" xfId="0" applyNumberFormat="1" applyFont="1" applyFill="1" applyBorder="1"/>
    <xf numFmtId="165" fontId="4" fillId="3" borderId="0" xfId="0" applyNumberFormat="1" applyFont="1" applyFill="1" applyBorder="1"/>
    <xf numFmtId="165" fontId="2" fillId="0" borderId="3" xfId="0" applyNumberFormat="1" applyFont="1" applyBorder="1"/>
    <xf numFmtId="165" fontId="2" fillId="6" borderId="0" xfId="0" applyNumberFormat="1" applyFont="1" applyFill="1" applyBorder="1"/>
    <xf numFmtId="170" fontId="4" fillId="3" borderId="0" xfId="0" applyNumberFormat="1" applyFont="1" applyFill="1"/>
    <xf numFmtId="170" fontId="2" fillId="0" borderId="7" xfId="0" applyNumberFormat="1" applyFont="1" applyBorder="1"/>
    <xf numFmtId="170" fontId="2" fillId="6" borderId="7" xfId="0" applyNumberFormat="1" applyFont="1" applyFill="1" applyBorder="1"/>
    <xf numFmtId="170" fontId="2" fillId="0" borderId="3" xfId="0" applyNumberFormat="1" applyFont="1" applyBorder="1"/>
    <xf numFmtId="170" fontId="2" fillId="6" borderId="3" xfId="0" applyNumberFormat="1" applyFont="1" applyFill="1" applyBorder="1"/>
    <xf numFmtId="170" fontId="4" fillId="0" borderId="0" xfId="0" applyNumberFormat="1" applyFont="1" applyBorder="1"/>
    <xf numFmtId="170" fontId="4" fillId="0" borderId="0" xfId="0" applyNumberFormat="1" applyFont="1" applyFill="1" applyBorder="1"/>
    <xf numFmtId="170" fontId="4" fillId="2" borderId="0" xfId="0" applyNumberFormat="1" applyFont="1" applyFill="1" applyBorder="1"/>
    <xf numFmtId="170" fontId="4" fillId="3" borderId="0" xfId="0" applyNumberFormat="1" applyFont="1" applyFill="1" applyBorder="1"/>
    <xf numFmtId="170" fontId="2" fillId="0" borderId="5" xfId="0" applyNumberFormat="1" applyFont="1" applyFill="1" applyBorder="1"/>
    <xf numFmtId="170" fontId="2" fillId="3" borderId="5" xfId="0" applyNumberFormat="1" applyFont="1" applyFill="1" applyBorder="1"/>
    <xf numFmtId="170" fontId="2" fillId="0" borderId="3" xfId="0" applyNumberFormat="1" applyFont="1" applyFill="1" applyBorder="1"/>
    <xf numFmtId="170" fontId="2" fillId="3" borderId="3" xfId="0" applyNumberFormat="1" applyFont="1" applyFill="1" applyBorder="1"/>
    <xf numFmtId="170" fontId="4" fillId="3" borderId="5" xfId="0" applyNumberFormat="1" applyFont="1" applyFill="1" applyBorder="1"/>
    <xf numFmtId="170" fontId="4" fillId="0" borderId="0" xfId="0" applyNumberFormat="1" applyFont="1" applyAlignment="1">
      <alignment horizontal="right"/>
    </xf>
    <xf numFmtId="170" fontId="4" fillId="0" borderId="3" xfId="0" applyNumberFormat="1" applyFont="1" applyBorder="1"/>
    <xf numFmtId="170" fontId="2" fillId="0" borderId="0" xfId="0" applyNumberFormat="1" applyFont="1" applyFill="1" applyBorder="1"/>
    <xf numFmtId="170" fontId="4" fillId="6" borderId="0" xfId="0" applyNumberFormat="1" applyFont="1" applyFill="1" applyBorder="1"/>
    <xf numFmtId="170" fontId="4" fillId="0" borderId="3" xfId="0" applyNumberFormat="1" applyFont="1" applyFill="1" applyBorder="1"/>
    <xf numFmtId="170" fontId="4" fillId="6" borderId="3" xfId="0" applyNumberFormat="1" applyFont="1" applyFill="1" applyBorder="1"/>
    <xf numFmtId="170" fontId="4" fillId="3" borderId="3" xfId="0" applyNumberFormat="1" applyFont="1" applyFill="1" applyBorder="1"/>
    <xf numFmtId="170" fontId="2" fillId="3" borderId="7" xfId="0" applyNumberFormat="1" applyFont="1" applyFill="1" applyBorder="1"/>
    <xf numFmtId="170" fontId="2" fillId="0" borderId="7" xfId="0" applyNumberFormat="1" applyFont="1" applyFill="1" applyBorder="1"/>
    <xf numFmtId="170" fontId="2" fillId="0" borderId="0" xfId="0" applyNumberFormat="1" applyFont="1" applyFill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Fill="1" applyBorder="1"/>
    <xf numFmtId="166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Border="1"/>
    <xf numFmtId="166" fontId="4" fillId="0" borderId="0" xfId="2" applyNumberFormat="1" applyFont="1"/>
    <xf numFmtId="37" fontId="12" fillId="0" borderId="0" xfId="0" applyNumberFormat="1" applyFont="1"/>
    <xf numFmtId="170" fontId="12" fillId="0" borderId="0" xfId="0" applyNumberFormat="1" applyFont="1"/>
    <xf numFmtId="171" fontId="4" fillId="0" borderId="0" xfId="0" applyNumberFormat="1" applyFont="1"/>
    <xf numFmtId="0" fontId="4" fillId="5" borderId="0" xfId="0" applyFont="1" applyFill="1"/>
    <xf numFmtId="0" fontId="15" fillId="5" borderId="0" xfId="0" applyFont="1" applyFill="1"/>
    <xf numFmtId="0" fontId="14" fillId="5" borderId="0" xfId="0" applyFont="1" applyFill="1" applyAlignment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15" fillId="5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8" xfId="0" applyFont="1" applyBorder="1"/>
    <xf numFmtId="0" fontId="4" fillId="6" borderId="8" xfId="0" applyFont="1" applyFill="1" applyBorder="1"/>
    <xf numFmtId="167" fontId="4" fillId="0" borderId="8" xfId="0" applyNumberFormat="1" applyFont="1" applyBorder="1"/>
    <xf numFmtId="167" fontId="4" fillId="6" borderId="8" xfId="0" applyNumberFormat="1" applyFont="1" applyFill="1" applyBorder="1"/>
    <xf numFmtId="167" fontId="4" fillId="0" borderId="8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8" fillId="0" borderId="8" xfId="0" applyFont="1" applyFill="1" applyBorder="1"/>
    <xf numFmtId="0" fontId="2" fillId="6" borderId="0" xfId="0" applyFont="1" applyFill="1" applyBorder="1"/>
    <xf numFmtId="37" fontId="4" fillId="0" borderId="0" xfId="0" applyNumberFormat="1" applyFont="1" applyBorder="1"/>
    <xf numFmtId="168" fontId="2" fillId="0" borderId="0" xfId="1" applyNumberFormat="1" applyFont="1" applyBorder="1"/>
    <xf numFmtId="0" fontId="2" fillId="0" borderId="8" xfId="0" applyFont="1" applyBorder="1"/>
    <xf numFmtId="166" fontId="2" fillId="0" borderId="8" xfId="2" applyNumberFormat="1" applyFont="1" applyBorder="1"/>
    <xf numFmtId="166" fontId="2" fillId="6" borderId="8" xfId="2" applyNumberFormat="1" applyFont="1" applyFill="1" applyBorder="1"/>
    <xf numFmtId="166" fontId="2" fillId="0" borderId="8" xfId="2" applyNumberFormat="1" applyFont="1" applyFill="1" applyBorder="1"/>
    <xf numFmtId="165" fontId="2" fillId="0" borderId="9" xfId="0" applyNumberFormat="1" applyFont="1" applyBorder="1"/>
    <xf numFmtId="165" fontId="4" fillId="0" borderId="9" xfId="0" applyNumberFormat="1" applyFont="1" applyBorder="1"/>
    <xf numFmtId="165" fontId="8" fillId="0" borderId="8" xfId="0" applyNumberFormat="1" applyFont="1" applyFill="1" applyBorder="1"/>
    <xf numFmtId="165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10" fillId="0" borderId="8" xfId="0" applyNumberFormat="1" applyFont="1" applyFill="1" applyBorder="1"/>
    <xf numFmtId="165" fontId="18" fillId="0" borderId="8" xfId="0" applyNumberFormat="1" applyFont="1" applyFill="1" applyBorder="1"/>
    <xf numFmtId="165" fontId="4" fillId="0" borderId="9" xfId="0" applyNumberFormat="1" applyFont="1" applyFill="1" applyBorder="1"/>
    <xf numFmtId="0" fontId="2" fillId="6" borderId="8" xfId="0" applyFont="1" applyFill="1" applyBorder="1"/>
    <xf numFmtId="0" fontId="4" fillId="3" borderId="8" xfId="0" applyFont="1" applyFill="1" applyBorder="1"/>
    <xf numFmtId="37" fontId="4" fillId="3" borderId="8" xfId="0" applyNumberFormat="1" applyFont="1" applyFill="1" applyBorder="1"/>
    <xf numFmtId="0" fontId="4" fillId="0" borderId="8" xfId="0" applyFont="1" applyFill="1" applyBorder="1"/>
    <xf numFmtId="37" fontId="4" fillId="0" borderId="8" xfId="0" applyNumberFormat="1" applyFont="1" applyFill="1" applyBorder="1"/>
    <xf numFmtId="166" fontId="2" fillId="6" borderId="0" xfId="2" applyNumberFormat="1" applyFont="1" applyFill="1" applyBorder="1" applyAlignment="1">
      <alignment horizontal="right"/>
    </xf>
    <xf numFmtId="165" fontId="2" fillId="3" borderId="7" xfId="0" applyNumberFormat="1" applyFont="1" applyFill="1" applyBorder="1"/>
    <xf numFmtId="165" fontId="4" fillId="3" borderId="3" xfId="0" applyNumberFormat="1" applyFont="1" applyFill="1" applyBorder="1"/>
    <xf numFmtId="165" fontId="2" fillId="3" borderId="0" xfId="0" applyNumberFormat="1" applyFont="1" applyFill="1"/>
    <xf numFmtId="172" fontId="4" fillId="0" borderId="0" xfId="0" applyNumberFormat="1" applyFont="1"/>
    <xf numFmtId="173" fontId="4" fillId="0" borderId="0" xfId="0" applyNumberFormat="1" applyFont="1"/>
    <xf numFmtId="173" fontId="4" fillId="6" borderId="0" xfId="0" applyNumberFormat="1" applyFont="1" applyFill="1"/>
    <xf numFmtId="173" fontId="2" fillId="0" borderId="0" xfId="0" applyNumberFormat="1" applyFont="1"/>
    <xf numFmtId="173" fontId="4" fillId="0" borderId="4" xfId="0" applyNumberFormat="1" applyFont="1" applyBorder="1"/>
    <xf numFmtId="173" fontId="4" fillId="6" borderId="4" xfId="0" applyNumberFormat="1" applyFont="1" applyFill="1" applyBorder="1"/>
    <xf numFmtId="173" fontId="2" fillId="0" borderId="4" xfId="0" applyNumberFormat="1" applyFont="1" applyBorder="1"/>
    <xf numFmtId="173" fontId="4" fillId="0" borderId="5" xfId="0" applyNumberFormat="1" applyFont="1" applyBorder="1"/>
    <xf numFmtId="173" fontId="4" fillId="6" borderId="5" xfId="0" applyNumberFormat="1" applyFont="1" applyFill="1" applyBorder="1"/>
    <xf numFmtId="173" fontId="2" fillId="0" borderId="5" xfId="0" applyNumberFormat="1" applyFont="1" applyBorder="1"/>
    <xf numFmtId="173" fontId="4" fillId="0" borderId="5" xfId="0" applyNumberFormat="1" applyFont="1" applyFill="1" applyBorder="1"/>
    <xf numFmtId="173" fontId="4" fillId="0" borderId="0" xfId="0" applyNumberFormat="1" applyFont="1" applyBorder="1"/>
    <xf numFmtId="173" fontId="4" fillId="6" borderId="0" xfId="0" applyNumberFormat="1" applyFont="1" applyFill="1" applyBorder="1"/>
    <xf numFmtId="173" fontId="2" fillId="0" borderId="0" xfId="0" applyNumberFormat="1" applyFont="1" applyBorder="1"/>
    <xf numFmtId="173" fontId="4" fillId="0" borderId="6" xfId="0" applyNumberFormat="1" applyFont="1" applyBorder="1"/>
    <xf numFmtId="173" fontId="4" fillId="6" borderId="6" xfId="0" applyNumberFormat="1" applyFont="1" applyFill="1" applyBorder="1"/>
    <xf numFmtId="173" fontId="2" fillId="0" borderId="6" xfId="0" applyNumberFormat="1" applyFont="1" applyBorder="1"/>
    <xf numFmtId="173" fontId="4" fillId="0" borderId="0" xfId="1" applyNumberFormat="1" applyFont="1"/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/>
    <xf numFmtId="173" fontId="2" fillId="6" borderId="0" xfId="0" applyNumberFormat="1" applyFont="1" applyFill="1" applyAlignment="1"/>
    <xf numFmtId="173" fontId="2" fillId="6" borderId="0" xfId="0" applyNumberFormat="1" applyFont="1" applyFill="1" applyAlignment="1">
      <alignment horizontal="center"/>
    </xf>
    <xf numFmtId="173" fontId="3" fillId="0" borderId="2" xfId="0" applyNumberFormat="1" applyFont="1" applyFill="1" applyBorder="1" applyAlignment="1">
      <alignment horizontal="right"/>
    </xf>
    <xf numFmtId="173" fontId="3" fillId="6" borderId="2" xfId="0" applyNumberFormat="1" applyFont="1" applyFill="1" applyBorder="1" applyAlignment="1">
      <alignment horizontal="right"/>
    </xf>
    <xf numFmtId="173" fontId="2" fillId="0" borderId="2" xfId="0" applyNumberFormat="1" applyFont="1" applyFill="1" applyBorder="1" applyAlignment="1">
      <alignment horizontal="right"/>
    </xf>
    <xf numFmtId="173" fontId="4" fillId="0" borderId="2" xfId="0" applyNumberFormat="1" applyFont="1" applyBorder="1"/>
    <xf numFmtId="173" fontId="4" fillId="0" borderId="0" xfId="0" applyNumberFormat="1" applyFont="1" applyFill="1"/>
    <xf numFmtId="173" fontId="4" fillId="0" borderId="4" xfId="0" applyNumberFormat="1" applyFont="1" applyFill="1" applyBorder="1"/>
    <xf numFmtId="173" fontId="4" fillId="3" borderId="0" xfId="0" applyNumberFormat="1" applyFont="1" applyFill="1"/>
    <xf numFmtId="173" fontId="4" fillId="3" borderId="4" xfId="0" applyNumberFormat="1" applyFont="1" applyFill="1" applyBorder="1"/>
    <xf numFmtId="173" fontId="4" fillId="0" borderId="9" xfId="0" applyNumberFormat="1" applyFont="1" applyBorder="1"/>
    <xf numFmtId="173" fontId="4" fillId="6" borderId="9" xfId="0" applyNumberFormat="1" applyFont="1" applyFill="1" applyBorder="1"/>
    <xf numFmtId="173" fontId="2" fillId="0" borderId="9" xfId="0" applyNumberFormat="1" applyFont="1" applyBorder="1"/>
    <xf numFmtId="173" fontId="4" fillId="0" borderId="9" xfId="0" applyNumberFormat="1" applyFont="1" applyFill="1" applyBorder="1"/>
    <xf numFmtId="164" fontId="4" fillId="0" borderId="0" xfId="0" applyNumberFormat="1" applyFont="1"/>
    <xf numFmtId="0" fontId="4" fillId="0" borderId="1" xfId="0" applyFont="1" applyBorder="1"/>
    <xf numFmtId="170" fontId="4" fillId="0" borderId="1" xfId="0" applyNumberFormat="1" applyFont="1" applyBorder="1"/>
    <xf numFmtId="170" fontId="4" fillId="3" borderId="4" xfId="0" applyNumberFormat="1" applyFont="1" applyFill="1" applyBorder="1"/>
    <xf numFmtId="0" fontId="4" fillId="0" borderId="7" xfId="0" applyFont="1" applyBorder="1"/>
    <xf numFmtId="166" fontId="4" fillId="0" borderId="0" xfId="2" applyNumberFormat="1" applyFont="1" applyFill="1" applyBorder="1"/>
    <xf numFmtId="0" fontId="12" fillId="0" borderId="0" xfId="0" applyFont="1" applyAlignment="1">
      <alignment vertical="top"/>
    </xf>
    <xf numFmtId="170" fontId="4" fillId="0" borderId="7" xfId="0" applyNumberFormat="1" applyFont="1" applyBorder="1"/>
    <xf numFmtId="170" fontId="2" fillId="3" borderId="0" xfId="0" applyNumberFormat="1" applyFont="1" applyFill="1" applyBorder="1"/>
    <xf numFmtId="166" fontId="2" fillId="0" borderId="2" xfId="2" applyNumberFormat="1" applyFont="1" applyFill="1" applyBorder="1"/>
    <xf numFmtId="166" fontId="2" fillId="6" borderId="2" xfId="2" applyNumberFormat="1" applyFont="1" applyFill="1" applyBorder="1"/>
    <xf numFmtId="173" fontId="2" fillId="0" borderId="0" xfId="2" applyNumberFormat="1" applyFont="1" applyBorder="1"/>
    <xf numFmtId="173" fontId="2" fillId="6" borderId="0" xfId="2" applyNumberFormat="1" applyFont="1" applyFill="1" applyBorder="1"/>
    <xf numFmtId="173" fontId="4" fillId="0" borderId="0" xfId="2" applyNumberFormat="1" applyFont="1" applyBorder="1"/>
    <xf numFmtId="173" fontId="2" fillId="0" borderId="0" xfId="0" applyNumberFormat="1" applyFont="1" applyFill="1"/>
    <xf numFmtId="173" fontId="2" fillId="6" borderId="0" xfId="0" applyNumberFormat="1" applyFont="1" applyFill="1"/>
    <xf numFmtId="9" fontId="2" fillId="0" borderId="5" xfId="2" applyFont="1" applyBorder="1"/>
    <xf numFmtId="9" fontId="2" fillId="3" borderId="5" xfId="2" applyFont="1" applyFill="1" applyBorder="1"/>
    <xf numFmtId="9" fontId="2" fillId="6" borderId="5" xfId="2" applyFont="1" applyFill="1" applyBorder="1"/>
    <xf numFmtId="9" fontId="2" fillId="0" borderId="1" xfId="2" applyFont="1" applyBorder="1"/>
    <xf numFmtId="9" fontId="2" fillId="3" borderId="1" xfId="2" applyFont="1" applyFill="1" applyBorder="1"/>
    <xf numFmtId="9" fontId="2" fillId="6" borderId="1" xfId="2" applyFont="1" applyFill="1" applyBorder="1"/>
    <xf numFmtId="170" fontId="4" fillId="1" borderId="0" xfId="0" applyNumberFormat="1" applyFont="1" applyFill="1"/>
    <xf numFmtId="170" fontId="4" fillId="7" borderId="0" xfId="0" applyNumberFormat="1" applyFont="1" applyFill="1"/>
    <xf numFmtId="170" fontId="2" fillId="8" borderId="0" xfId="0" applyNumberFormat="1" applyFont="1" applyFill="1"/>
    <xf numFmtId="166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/>
    <xf numFmtId="3" fontId="2" fillId="6" borderId="0" xfId="2" applyNumberFormat="1" applyFont="1" applyFill="1" applyBorder="1"/>
    <xf numFmtId="3" fontId="2" fillId="0" borderId="0" xfId="0" applyNumberFormat="1" applyFont="1"/>
    <xf numFmtId="0" fontId="4" fillId="0" borderId="5" xfId="0" applyFont="1" applyFill="1" applyBorder="1"/>
    <xf numFmtId="3" fontId="4" fillId="0" borderId="2" xfId="2" applyNumberFormat="1" applyFont="1" applyFill="1" applyBorder="1"/>
    <xf numFmtId="3" fontId="2" fillId="6" borderId="2" xfId="2" applyNumberFormat="1" applyFont="1" applyFill="1" applyBorder="1"/>
    <xf numFmtId="3" fontId="2" fillId="0" borderId="2" xfId="0" applyNumberFormat="1" applyFont="1" applyBorder="1"/>
    <xf numFmtId="168" fontId="4" fillId="0" borderId="0" xfId="0" applyNumberFormat="1" applyFont="1" applyFill="1"/>
    <xf numFmtId="170" fontId="4" fillId="0" borderId="5" xfId="0" applyNumberFormat="1" applyFont="1" applyFill="1" applyBorder="1"/>
    <xf numFmtId="173" fontId="4" fillId="0" borderId="0" xfId="0" applyNumberFormat="1" applyFont="1" applyFill="1" applyBorder="1"/>
    <xf numFmtId="9" fontId="2" fillId="6" borderId="0" xfId="0" applyNumberFormat="1" applyFont="1" applyFill="1"/>
    <xf numFmtId="9" fontId="2" fillId="6" borderId="5" xfId="0" applyNumberFormat="1" applyFont="1" applyFill="1" applyBorder="1"/>
    <xf numFmtId="9" fontId="2" fillId="6" borderId="1" xfId="0" applyNumberFormat="1" applyFont="1" applyFill="1" applyBorder="1"/>
    <xf numFmtId="3" fontId="4" fillId="1" borderId="0" xfId="2" applyNumberFormat="1" applyFont="1" applyFill="1" applyBorder="1"/>
    <xf numFmtId="3" fontId="2" fillId="8" borderId="0" xfId="2" applyNumberFormat="1" applyFont="1" applyFill="1" applyBorder="1"/>
    <xf numFmtId="3" fontId="4" fillId="1" borderId="2" xfId="2" applyNumberFormat="1" applyFont="1" applyFill="1" applyBorder="1"/>
    <xf numFmtId="3" fontId="2" fillId="8" borderId="2" xfId="2" applyNumberFormat="1" applyFont="1" applyFill="1" applyBorder="1"/>
    <xf numFmtId="3" fontId="2" fillId="1" borderId="0" xfId="0" applyNumberFormat="1" applyFont="1" applyFill="1"/>
    <xf numFmtId="3" fontId="2" fillId="1" borderId="2" xfId="0" applyNumberFormat="1" applyFont="1" applyFill="1" applyBorder="1"/>
    <xf numFmtId="165" fontId="4" fillId="0" borderId="0" xfId="0" quotePrefix="1" applyNumberFormat="1" applyFont="1" applyFill="1" applyAlignment="1">
      <alignment horizontal="right"/>
    </xf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3" fillId="5" borderId="0" xfId="0" quotePrefix="1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5" borderId="0" xfId="0" quotePrefix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2021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topLeftCell="A7" zoomScale="150" zoomScaleNormal="150" workbookViewId="0">
      <selection activeCell="N16" sqref="N16"/>
    </sheetView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281" t="s">
        <v>151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157"/>
      <c r="N9" s="156"/>
    </row>
    <row r="10" spans="1:14" ht="44.25" x14ac:dyDescent="0.55000000000000004">
      <c r="A10" s="156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157"/>
      <c r="N10" s="156"/>
    </row>
    <row r="11" spans="1:14" ht="44.25" x14ac:dyDescent="0.55000000000000004">
      <c r="A11" s="156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157"/>
      <c r="N11" s="156"/>
    </row>
    <row r="12" spans="1:14" ht="44.25" x14ac:dyDescent="0.55000000000000004">
      <c r="A12" s="156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48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48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48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Y51"/>
  <sheetViews>
    <sheetView showGridLines="0" tabSelected="1" zoomScale="90" zoomScaleNormal="90" zoomScaleSheetLayoutView="75" workbookViewId="0">
      <pane xSplit="1" ySplit="3" topLeftCell="CB4" activePane="bottomRight" state="frozen"/>
      <selection activeCell="O4" sqref="O4"/>
      <selection pane="topRight" activeCell="O4" sqref="O4"/>
      <selection pane="bottomLeft" activeCell="O4" sqref="O4"/>
      <selection pane="bottomRight" activeCell="CX31" sqref="CX31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97" width="9.140625" style="2"/>
    <col min="98" max="98" width="3.7109375" style="2" customWidth="1"/>
    <col min="99" max="16384" width="9.140625" style="2"/>
  </cols>
  <sheetData>
    <row r="1" spans="1:103" x14ac:dyDescent="0.2">
      <c r="C1" s="284"/>
      <c r="D1" s="284"/>
      <c r="E1" s="284"/>
      <c r="F1" s="284"/>
      <c r="G1" s="284"/>
      <c r="I1" s="284"/>
      <c r="J1" s="284"/>
      <c r="K1" s="284"/>
      <c r="L1" s="284"/>
      <c r="M1" s="284"/>
      <c r="O1" s="284"/>
      <c r="P1" s="284"/>
      <c r="Q1" s="284"/>
      <c r="R1" s="284"/>
      <c r="S1" s="284"/>
      <c r="U1" s="284"/>
      <c r="V1" s="284"/>
      <c r="W1" s="284"/>
      <c r="X1" s="284"/>
      <c r="Y1" s="284"/>
      <c r="AA1" s="284"/>
      <c r="AB1" s="284"/>
      <c r="AC1" s="284"/>
      <c r="AD1" s="284"/>
      <c r="AE1" s="284"/>
      <c r="AG1" s="284"/>
      <c r="AH1" s="284"/>
      <c r="AI1" s="284"/>
      <c r="AJ1" s="284"/>
      <c r="AK1" s="284"/>
      <c r="AM1" s="284"/>
      <c r="AN1" s="284"/>
      <c r="AO1" s="284"/>
      <c r="AP1" s="284"/>
      <c r="AQ1" s="284"/>
      <c r="AS1" s="284"/>
      <c r="AT1" s="284"/>
      <c r="AU1" s="284"/>
      <c r="AV1" s="284"/>
      <c r="AW1" s="284"/>
      <c r="AY1" s="284"/>
      <c r="AZ1" s="284"/>
      <c r="BA1" s="284"/>
      <c r="BB1" s="284"/>
      <c r="BC1" s="284"/>
      <c r="BE1" s="284"/>
      <c r="BF1" s="284"/>
      <c r="BG1" s="284"/>
      <c r="BH1" s="284"/>
      <c r="BI1" s="284"/>
      <c r="BK1" s="284"/>
      <c r="BL1" s="284"/>
      <c r="BM1" s="284"/>
      <c r="BN1" s="284"/>
      <c r="BO1" s="284"/>
      <c r="BQ1" s="284"/>
      <c r="BR1" s="284"/>
      <c r="BS1" s="284"/>
      <c r="BT1" s="284"/>
      <c r="BU1" s="284"/>
      <c r="BW1" s="285" t="s">
        <v>164</v>
      </c>
      <c r="BX1" s="285"/>
      <c r="BY1" s="285"/>
      <c r="BZ1" s="285"/>
      <c r="CA1" s="285"/>
      <c r="CC1" s="285"/>
      <c r="CD1" s="285"/>
      <c r="CE1" s="285"/>
      <c r="CF1" s="285"/>
      <c r="CG1" s="285"/>
      <c r="CI1" s="285"/>
      <c r="CJ1" s="285"/>
      <c r="CK1" s="285"/>
      <c r="CL1" s="285"/>
      <c r="CM1" s="285"/>
    </row>
    <row r="2" spans="1:103" x14ac:dyDescent="0.2">
      <c r="A2" s="1" t="s">
        <v>152</v>
      </c>
      <c r="C2" s="283">
        <v>2005</v>
      </c>
      <c r="D2" s="283"/>
      <c r="E2" s="283"/>
      <c r="F2" s="283"/>
      <c r="G2" s="283"/>
      <c r="I2" s="283">
        <v>2006</v>
      </c>
      <c r="J2" s="283"/>
      <c r="K2" s="283"/>
      <c r="L2" s="283"/>
      <c r="M2" s="283"/>
      <c r="O2" s="283">
        <v>2007</v>
      </c>
      <c r="P2" s="283"/>
      <c r="Q2" s="283"/>
      <c r="R2" s="283"/>
      <c r="S2" s="283"/>
      <c r="U2" s="283">
        <v>2008</v>
      </c>
      <c r="V2" s="283"/>
      <c r="W2" s="283"/>
      <c r="X2" s="283"/>
      <c r="Y2" s="283"/>
      <c r="AA2" s="283">
        <v>2009</v>
      </c>
      <c r="AB2" s="283"/>
      <c r="AC2" s="283"/>
      <c r="AD2" s="283"/>
      <c r="AE2" s="283"/>
      <c r="AG2" s="283">
        <v>2010</v>
      </c>
      <c r="AH2" s="283"/>
      <c r="AI2" s="283"/>
      <c r="AJ2" s="283"/>
      <c r="AK2" s="283"/>
      <c r="AM2" s="283">
        <v>2011</v>
      </c>
      <c r="AN2" s="283"/>
      <c r="AO2" s="283"/>
      <c r="AP2" s="283"/>
      <c r="AQ2" s="283"/>
      <c r="AS2" s="283">
        <v>2012</v>
      </c>
      <c r="AT2" s="283"/>
      <c r="AU2" s="283"/>
      <c r="AV2" s="283"/>
      <c r="AW2" s="283"/>
      <c r="AY2" s="283">
        <v>2013</v>
      </c>
      <c r="AZ2" s="283"/>
      <c r="BA2" s="283"/>
      <c r="BB2" s="283"/>
      <c r="BC2" s="283"/>
      <c r="BE2" s="283">
        <v>2014</v>
      </c>
      <c r="BF2" s="283"/>
      <c r="BG2" s="283"/>
      <c r="BH2" s="283"/>
      <c r="BI2" s="283"/>
      <c r="BK2" s="283">
        <v>2015</v>
      </c>
      <c r="BL2" s="283"/>
      <c r="BM2" s="283"/>
      <c r="BN2" s="283"/>
      <c r="BO2" s="283"/>
      <c r="BQ2" s="283">
        <v>2016</v>
      </c>
      <c r="BR2" s="283"/>
      <c r="BS2" s="283"/>
      <c r="BT2" s="283"/>
      <c r="BU2" s="283"/>
      <c r="BW2" s="283">
        <v>2017</v>
      </c>
      <c r="BX2" s="283"/>
      <c r="BY2" s="283"/>
      <c r="BZ2" s="283"/>
      <c r="CA2" s="283"/>
      <c r="CC2" s="283">
        <v>2018</v>
      </c>
      <c r="CD2" s="283"/>
      <c r="CE2" s="283"/>
      <c r="CF2" s="283"/>
      <c r="CG2" s="283"/>
      <c r="CI2" s="283">
        <v>2019</v>
      </c>
      <c r="CJ2" s="283"/>
      <c r="CK2" s="283"/>
      <c r="CL2" s="283"/>
      <c r="CM2" s="283"/>
      <c r="CO2" s="283">
        <v>2020</v>
      </c>
      <c r="CP2" s="283"/>
      <c r="CQ2" s="283"/>
      <c r="CR2" s="283"/>
      <c r="CS2" s="283"/>
      <c r="CU2" s="283">
        <v>2021</v>
      </c>
      <c r="CV2" s="283"/>
      <c r="CW2" s="283"/>
      <c r="CX2" s="283"/>
      <c r="CY2" s="283"/>
    </row>
    <row r="3" spans="1:103" s="170" customFormat="1" x14ac:dyDescent="0.2">
      <c r="A3" s="169" t="s">
        <v>103</v>
      </c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N3" s="172"/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T3" s="172"/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Z3" s="172"/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  <c r="AS3" s="172" t="s">
        <v>9</v>
      </c>
      <c r="AT3" s="172" t="s">
        <v>10</v>
      </c>
      <c r="AU3" s="172" t="s">
        <v>11</v>
      </c>
      <c r="AV3" s="172" t="s">
        <v>12</v>
      </c>
      <c r="AW3" s="172" t="s">
        <v>13</v>
      </c>
      <c r="AY3" s="172" t="s">
        <v>9</v>
      </c>
      <c r="AZ3" s="172" t="s">
        <v>10</v>
      </c>
      <c r="BA3" s="172" t="s">
        <v>11</v>
      </c>
      <c r="BB3" s="172" t="s">
        <v>12</v>
      </c>
      <c r="BC3" s="172" t="s">
        <v>13</v>
      </c>
      <c r="BE3" s="172" t="s">
        <v>9</v>
      </c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  <c r="CO3" s="172" t="s">
        <v>9</v>
      </c>
      <c r="CP3" s="172" t="s">
        <v>10</v>
      </c>
      <c r="CQ3" s="172" t="s">
        <v>11</v>
      </c>
      <c r="CR3" s="172" t="s">
        <v>12</v>
      </c>
      <c r="CS3" s="172" t="s">
        <v>13</v>
      </c>
      <c r="CU3" s="172" t="s">
        <v>9</v>
      </c>
      <c r="CV3" s="172" t="s">
        <v>10</v>
      </c>
      <c r="CW3" s="172" t="s">
        <v>11</v>
      </c>
      <c r="CX3" s="172" t="s">
        <v>12</v>
      </c>
      <c r="CY3" s="172" t="s">
        <v>13</v>
      </c>
    </row>
    <row r="4" spans="1:103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  <c r="CY4" s="36"/>
    </row>
    <row r="5" spans="1:103" s="42" customFormat="1" ht="18.75" customHeight="1" x14ac:dyDescent="0.2">
      <c r="A5" s="42" t="s">
        <v>125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2017-2021'!U13</f>
        <v>331.09999999999997</v>
      </c>
      <c r="CP5" s="73">
        <f>+'Segment Data 2017-2021'!V13</f>
        <v>372.40000000000003</v>
      </c>
      <c r="CQ5" s="73">
        <f>+'Segment Data 2017-2021'!W13</f>
        <v>393.09999999999997</v>
      </c>
      <c r="CR5" s="73">
        <f>+'Segment Data 2017-2021'!X13</f>
        <v>373.59999999999997</v>
      </c>
      <c r="CS5" s="74">
        <f>SUM(CO5:CR5)</f>
        <v>1470.1999999999998</v>
      </c>
      <c r="CU5" s="73">
        <f>+'Segment Data 2017-2021'!AA13</f>
        <v>429.59999999999997</v>
      </c>
      <c r="CV5" s="73">
        <f>+'Segment Data 2017-2021'!AB13</f>
        <v>515.6</v>
      </c>
      <c r="CW5" s="73">
        <f>+'Segment Data 2017-2021'!AC13</f>
        <v>498.2</v>
      </c>
      <c r="CX5" s="73">
        <f>+'Segment Data 2017-2021'!AD13</f>
        <v>463.3</v>
      </c>
      <c r="CY5" s="74">
        <f>SUM(CU5:CX5)</f>
        <v>1906.7</v>
      </c>
    </row>
    <row r="6" spans="1:103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  <c r="CU6" s="7"/>
      <c r="CV6" s="7"/>
      <c r="CW6" s="7"/>
      <c r="CX6" s="7"/>
      <c r="CY6" s="37"/>
    </row>
    <row r="7" spans="1:103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2017-2021'!U40</f>
        <v>7.9999999999999991</v>
      </c>
      <c r="CP7" s="76">
        <f>+'Segment Data 2017-2021'!V40</f>
        <v>6.5000000000000009</v>
      </c>
      <c r="CQ7" s="76">
        <f>+'Segment Data 2017-2021'!W40</f>
        <v>21.4</v>
      </c>
      <c r="CR7" s="76">
        <f>+'Segment Data 2017-2021'!X40</f>
        <v>13.5</v>
      </c>
      <c r="CS7" s="75">
        <f>SUM(CO7:CR7)</f>
        <v>49.4</v>
      </c>
      <c r="CU7" s="76">
        <f>+'Segment Data 2017-2021'!AA40</f>
        <v>30.8</v>
      </c>
      <c r="CV7" s="76">
        <f>+'Segment Data 2017-2021'!AB40</f>
        <v>42.4</v>
      </c>
      <c r="CW7" s="76">
        <f>+'Segment Data 2017-2021'!AC40</f>
        <v>33.500000000000007</v>
      </c>
      <c r="CX7" s="76">
        <f>+'Segment Data 2017-2021'!AD40</f>
        <v>19.200000000000003</v>
      </c>
      <c r="CY7" s="75">
        <f>SUM(CU7:CX7)</f>
        <v>125.90000000000002</v>
      </c>
    </row>
    <row r="8" spans="1:103" x14ac:dyDescent="0.2">
      <c r="A8" s="2" t="s">
        <v>45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>
        <v>-18.7</v>
      </c>
      <c r="CS8" s="75">
        <f>SUM(CO8:CR8)</f>
        <v>-70.5</v>
      </c>
      <c r="CT8" s="199"/>
      <c r="CU8" s="31">
        <v>-17.2</v>
      </c>
      <c r="CV8" s="31">
        <v>-17.3</v>
      </c>
      <c r="CW8" s="31">
        <v>-19.7</v>
      </c>
      <c r="CX8" s="31">
        <v>-20.7</v>
      </c>
      <c r="CY8" s="75">
        <f>SUM(CU8:CX8)</f>
        <v>-74.900000000000006</v>
      </c>
    </row>
    <row r="9" spans="1:103" x14ac:dyDescent="0.2">
      <c r="A9" s="2" t="s">
        <v>87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>
        <v>-9.5</v>
      </c>
      <c r="CS9" s="75">
        <f>SUM(CO9:CR9)</f>
        <v>-26.8</v>
      </c>
      <c r="CT9" s="199"/>
      <c r="CU9" s="31">
        <v>-7.5</v>
      </c>
      <c r="CV9" s="31">
        <v>-7.6</v>
      </c>
      <c r="CW9" s="31">
        <v>-7.5</v>
      </c>
      <c r="CX9" s="31">
        <v>-11.6</v>
      </c>
      <c r="CY9" s="75">
        <f>SUM(CU9:CX9)</f>
        <v>-34.200000000000003</v>
      </c>
    </row>
    <row r="10" spans="1:103" s="47" customFormat="1" x14ac:dyDescent="0.2">
      <c r="A10" s="47" t="s">
        <v>92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>
        <v>0</v>
      </c>
      <c r="CS10" s="78">
        <f>SUM(CO10:CR10)</f>
        <v>0</v>
      </c>
      <c r="CU10" s="77">
        <v>0</v>
      </c>
      <c r="CV10" s="77">
        <v>0</v>
      </c>
      <c r="CW10" s="77">
        <v>0</v>
      </c>
      <c r="CX10" s="77">
        <v>0</v>
      </c>
      <c r="CY10" s="78">
        <f>SUM(CU10:CX10)</f>
        <v>0</v>
      </c>
    </row>
    <row r="11" spans="1:103" s="5" customFormat="1" ht="18.75" customHeight="1" x14ac:dyDescent="0.2">
      <c r="A11" s="5" t="s">
        <v>3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>
        <f>SUM(CR7:CR10)</f>
        <v>-14.7</v>
      </c>
      <c r="CS11" s="88">
        <f>SUM(CS7:CS10)</f>
        <v>-47.900000000000006</v>
      </c>
      <c r="CU11" s="87">
        <f>SUM(CU7:CU10)</f>
        <v>6.1000000000000014</v>
      </c>
      <c r="CV11" s="87">
        <f>SUM(CV7:CV10)</f>
        <v>17.5</v>
      </c>
      <c r="CW11" s="87">
        <f>SUM(CW7:CW10)</f>
        <v>6.3000000000000078</v>
      </c>
      <c r="CX11" s="87">
        <f>SUM(CX7:CX10)</f>
        <v>-13.099999999999996</v>
      </c>
      <c r="CY11" s="88">
        <f>SUM(CY7:CY10)</f>
        <v>16.800000000000011</v>
      </c>
    </row>
    <row r="12" spans="1:103" hidden="1" x14ac:dyDescent="0.2">
      <c r="A12" s="2" t="s">
        <v>44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  <c r="CU12" s="31"/>
      <c r="CV12" s="31"/>
      <c r="CW12" s="31"/>
      <c r="CX12" s="31"/>
      <c r="CY12" s="75">
        <f>SUM(CU12:CX12)</f>
        <v>0</v>
      </c>
    </row>
    <row r="13" spans="1:103" s="47" customFormat="1" x14ac:dyDescent="0.2">
      <c r="A13" s="47" t="s">
        <v>93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>
        <v>0</v>
      </c>
      <c r="CS13" s="78">
        <f>SUM(CO13:CR13)</f>
        <v>0</v>
      </c>
      <c r="CU13" s="77">
        <v>0</v>
      </c>
      <c r="CV13" s="77">
        <v>0</v>
      </c>
      <c r="CW13" s="77">
        <v>0</v>
      </c>
      <c r="CX13" s="77">
        <v>0</v>
      </c>
      <c r="CY13" s="78">
        <f>SUM(CU13:CX13)</f>
        <v>0</v>
      </c>
    </row>
    <row r="14" spans="1:103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>
        <f>SUM(CR11:CR13)</f>
        <v>-14.7</v>
      </c>
      <c r="CS14" s="75">
        <f>SUM(CS11:CS13)</f>
        <v>-47.900000000000006</v>
      </c>
      <c r="CU14" s="76">
        <f>SUM(CU11:CU13)</f>
        <v>6.1000000000000014</v>
      </c>
      <c r="CV14" s="76">
        <f>SUM(CV11:CV13)</f>
        <v>17.5</v>
      </c>
      <c r="CW14" s="76">
        <f>SUM(CW11:CW13)</f>
        <v>6.3000000000000078</v>
      </c>
      <c r="CX14" s="76">
        <f>SUM(CX11:CX13)</f>
        <v>-13.099999999999996</v>
      </c>
      <c r="CY14" s="75">
        <f>SUM(CY11:CY13)</f>
        <v>16.800000000000011</v>
      </c>
    </row>
    <row r="15" spans="1:103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>
        <v>-2.9</v>
      </c>
      <c r="CS15" s="78">
        <f>SUM(CO15:CR15)</f>
        <v>-16.7</v>
      </c>
      <c r="CU15" s="77">
        <v>-3.6</v>
      </c>
      <c r="CV15" s="77">
        <v>-3.5</v>
      </c>
      <c r="CW15" s="77">
        <v>-4.4000000000000004</v>
      </c>
      <c r="CX15" s="77">
        <v>-0.9</v>
      </c>
      <c r="CY15" s="78">
        <f>SUM(CU15:CX15)</f>
        <v>-12.4</v>
      </c>
    </row>
    <row r="16" spans="1:103" s="5" customFormat="1" ht="18.75" customHeight="1" x14ac:dyDescent="0.2">
      <c r="A16" s="1" t="s">
        <v>203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>
        <f>SUM(CR14:CR15)</f>
        <v>-17.599999999999998</v>
      </c>
      <c r="CS16" s="75">
        <f>SUM(CS14:CS15)</f>
        <v>-64.600000000000009</v>
      </c>
      <c r="CU16" s="76">
        <f>SUM(CU14:CU15)</f>
        <v>2.5000000000000013</v>
      </c>
      <c r="CV16" s="76">
        <f>SUM(CV14:CV15)</f>
        <v>14</v>
      </c>
      <c r="CW16" s="76">
        <f>SUM(CW14:CW15)</f>
        <v>1.9000000000000075</v>
      </c>
      <c r="CX16" s="76">
        <f>SUM(CX14:CX15)</f>
        <v>-13.999999999999996</v>
      </c>
      <c r="CY16" s="75">
        <f>SUM(CY14:CY15)</f>
        <v>4.400000000000011</v>
      </c>
    </row>
    <row r="17" spans="1:103" s="5" customFormat="1" ht="12.75" customHeight="1" x14ac:dyDescent="0.2">
      <c r="A17" s="2" t="s">
        <v>54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48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  <c r="CU17" s="31"/>
      <c r="CV17" s="31"/>
      <c r="CW17" s="31"/>
      <c r="CX17" s="31"/>
      <c r="CY17" s="84">
        <f>SUM(CU17:CX17)</f>
        <v>0</v>
      </c>
    </row>
    <row r="18" spans="1:103" s="47" customFormat="1" x14ac:dyDescent="0.2">
      <c r="A18" s="47" t="s">
        <v>5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>
        <v>-13</v>
      </c>
      <c r="CS18" s="78">
        <f>SUM(CO18:CR18)</f>
        <v>-9.9</v>
      </c>
      <c r="CU18" s="77">
        <v>-0.8</v>
      </c>
      <c r="CV18" s="77">
        <v>-2.9</v>
      </c>
      <c r="CW18" s="77">
        <v>-1.7</v>
      </c>
      <c r="CX18" s="77">
        <v>5.0999999999999996</v>
      </c>
      <c r="CY18" s="78">
        <f>SUM(CU18:CX18)</f>
        <v>-0.30000000000000071</v>
      </c>
    </row>
    <row r="19" spans="1:103" s="48" customFormat="1" ht="18.75" customHeight="1" x14ac:dyDescent="0.2">
      <c r="A19" s="48" t="s">
        <v>6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>
        <f>SUM(CR16:CR18)</f>
        <v>-30.599999999999998</v>
      </c>
      <c r="CS19" s="80">
        <f>SUM(CS16:CS18)</f>
        <v>-74.500000000000014</v>
      </c>
      <c r="CU19" s="79">
        <f>SUM(CU16:CU18)</f>
        <v>1.7000000000000013</v>
      </c>
      <c r="CV19" s="79">
        <f>SUM(CV16:CV18)</f>
        <v>11.1</v>
      </c>
      <c r="CW19" s="79">
        <f>SUM(CW16:CW18)</f>
        <v>0.20000000000000751</v>
      </c>
      <c r="CX19" s="79">
        <f>SUM(CX16:CX18)</f>
        <v>-8.8999999999999968</v>
      </c>
      <c r="CY19" s="80">
        <f>SUM(CY16:CY18)</f>
        <v>4.1000000000000103</v>
      </c>
    </row>
    <row r="20" spans="1:103" s="47" customFormat="1" ht="18.75" customHeight="1" x14ac:dyDescent="0.2">
      <c r="A20" s="47" t="s">
        <v>7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>
        <v>0</v>
      </c>
      <c r="CS20" s="81">
        <f>SUM(CO20:CR20)</f>
        <v>0</v>
      </c>
      <c r="CU20" s="77">
        <v>0</v>
      </c>
      <c r="CV20" s="77">
        <v>0</v>
      </c>
      <c r="CW20" s="77">
        <v>0</v>
      </c>
      <c r="CX20" s="77">
        <v>0</v>
      </c>
      <c r="CY20" s="81">
        <f>SUM(CU20:CX20)</f>
        <v>0</v>
      </c>
    </row>
    <row r="21" spans="1:103" s="48" customFormat="1" ht="18.75" customHeight="1" x14ac:dyDescent="0.2">
      <c r="A21" s="48" t="s">
        <v>8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>
        <f>SUM(CR19:CR20)</f>
        <v>-30.599999999999998</v>
      </c>
      <c r="CS21" s="83">
        <f>SUM(CS19:CS20)</f>
        <v>-74.500000000000014</v>
      </c>
      <c r="CU21" s="82">
        <f>SUM(CU19:CU20)</f>
        <v>1.7000000000000013</v>
      </c>
      <c r="CV21" s="82">
        <f>SUM(CV19:CV20)</f>
        <v>11.1</v>
      </c>
      <c r="CW21" s="82">
        <f>SUM(CW19:CW20)</f>
        <v>0.20000000000000751</v>
      </c>
      <c r="CX21" s="82">
        <f>SUM(CX19:CX20)</f>
        <v>-8.8999999999999968</v>
      </c>
      <c r="CY21" s="83">
        <f>SUM(CY19:CY20)</f>
        <v>4.1000000000000103</v>
      </c>
    </row>
    <row r="22" spans="1:103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  <c r="CU22" s="31"/>
      <c r="CV22" s="31"/>
      <c r="CW22" s="31"/>
      <c r="CX22" s="31"/>
      <c r="CY22" s="75"/>
    </row>
    <row r="23" spans="1:103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  <c r="CU23" s="31"/>
      <c r="CV23" s="31"/>
      <c r="CW23" s="31"/>
      <c r="CX23" s="31"/>
      <c r="CY23" s="75"/>
    </row>
    <row r="24" spans="1:103" x14ac:dyDescent="0.2">
      <c r="A24" s="5" t="s">
        <v>126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2017-2021'!U23</f>
        <v>252.99999999999997</v>
      </c>
      <c r="CP24" s="31">
        <f>+'Segment Data 2017-2021'!V23</f>
        <v>291</v>
      </c>
      <c r="CQ24" s="31">
        <f>+'Segment Data 2017-2021'!W23</f>
        <v>316.7</v>
      </c>
      <c r="CR24" s="31">
        <f>+'Segment Data 2017-2021'!X23</f>
        <v>293.99999999999989</v>
      </c>
      <c r="CS24" s="84">
        <f>SUM(CO24:CR24)</f>
        <v>1154.6999999999998</v>
      </c>
      <c r="CU24" s="31">
        <f>+'Segment Data 2017-2021'!AA23</f>
        <v>311.60000000000002</v>
      </c>
      <c r="CV24" s="31">
        <f>+'Segment Data 2017-2021'!AB23</f>
        <v>361.79999999999995</v>
      </c>
      <c r="CW24" s="31">
        <f>+'Segment Data 2017-2021'!AC23</f>
        <v>351.7</v>
      </c>
      <c r="CX24" s="31">
        <f>+'Segment Data 2017-2021'!AD23</f>
        <v>316.80000000000007</v>
      </c>
      <c r="CY24" s="84">
        <f>SUM(CU24:CX24)</f>
        <v>1341.9</v>
      </c>
    </row>
    <row r="25" spans="1:103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  <c r="CU25" s="31"/>
      <c r="CV25" s="31"/>
      <c r="CW25" s="31"/>
      <c r="CX25" s="31"/>
      <c r="CY25" s="75"/>
    </row>
    <row r="26" spans="1:103" s="46" customFormat="1" x14ac:dyDescent="0.2">
      <c r="A26" s="43" t="s">
        <v>14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9</v>
      </c>
      <c r="V26" s="89" t="s">
        <v>10</v>
      </c>
      <c r="W26" s="89" t="s">
        <v>11</v>
      </c>
      <c r="X26" s="89" t="s">
        <v>12</v>
      </c>
      <c r="Y26" s="90"/>
      <c r="Z26" s="91"/>
      <c r="AA26" s="89" t="s">
        <v>9</v>
      </c>
      <c r="AB26" s="89" t="s">
        <v>10</v>
      </c>
      <c r="AC26" s="89" t="s">
        <v>11</v>
      </c>
      <c r="AD26" s="89" t="s">
        <v>12</v>
      </c>
      <c r="AE26" s="90"/>
      <c r="AF26" s="91"/>
      <c r="AG26" s="89" t="s">
        <v>9</v>
      </c>
      <c r="AH26" s="89" t="s">
        <v>10</v>
      </c>
      <c r="AI26" s="89" t="s">
        <v>11</v>
      </c>
      <c r="AJ26" s="89" t="s">
        <v>12</v>
      </c>
      <c r="AK26" s="90"/>
      <c r="AL26" s="91"/>
      <c r="AM26" s="89" t="s">
        <v>9</v>
      </c>
      <c r="AN26" s="89" t="s">
        <v>10</v>
      </c>
      <c r="AO26" s="89" t="s">
        <v>11</v>
      </c>
      <c r="AP26" s="89" t="s">
        <v>12</v>
      </c>
      <c r="AQ26" s="90"/>
      <c r="AR26" s="91"/>
      <c r="AS26" s="89" t="s">
        <v>9</v>
      </c>
      <c r="AT26" s="89" t="s">
        <v>10</v>
      </c>
      <c r="AU26" s="89" t="s">
        <v>11</v>
      </c>
      <c r="AV26" s="89" t="s">
        <v>12</v>
      </c>
      <c r="AW26" s="90"/>
      <c r="AX26" s="91"/>
      <c r="AY26" s="89" t="s">
        <v>9</v>
      </c>
      <c r="AZ26" s="89" t="s">
        <v>10</v>
      </c>
      <c r="BA26" s="89" t="s">
        <v>11</v>
      </c>
      <c r="BB26" s="89" t="s">
        <v>12</v>
      </c>
      <c r="BC26" s="90"/>
      <c r="BD26" s="91"/>
      <c r="BE26" s="89" t="s">
        <v>9</v>
      </c>
      <c r="BF26" s="89" t="s">
        <v>10</v>
      </c>
      <c r="BG26" s="89" t="s">
        <v>11</v>
      </c>
      <c r="BH26" s="89" t="s">
        <v>12</v>
      </c>
      <c r="BI26" s="90"/>
      <c r="BJ26" s="91"/>
      <c r="BK26" s="89" t="s">
        <v>9</v>
      </c>
      <c r="BL26" s="89" t="s">
        <v>10</v>
      </c>
      <c r="BM26" s="89" t="s">
        <v>11</v>
      </c>
      <c r="BN26" s="89" t="s">
        <v>12</v>
      </c>
      <c r="BO26" s="90"/>
      <c r="BP26" s="91"/>
      <c r="BQ26" s="89" t="s">
        <v>9</v>
      </c>
      <c r="BR26" s="89" t="s">
        <v>10</v>
      </c>
      <c r="BS26" s="89" t="s">
        <v>11</v>
      </c>
      <c r="BT26" s="89" t="s">
        <v>12</v>
      </c>
      <c r="BU26" s="90"/>
      <c r="BV26" s="91"/>
      <c r="BW26" s="89" t="s">
        <v>9</v>
      </c>
      <c r="BX26" s="89"/>
      <c r="BY26" s="89"/>
      <c r="BZ26" s="89"/>
      <c r="CA26" s="90"/>
      <c r="CC26" s="89" t="s">
        <v>9</v>
      </c>
      <c r="CD26" s="89"/>
      <c r="CE26" s="89"/>
      <c r="CF26" s="89"/>
      <c r="CG26" s="90"/>
      <c r="CI26" s="89" t="s">
        <v>9</v>
      </c>
      <c r="CJ26" s="89"/>
      <c r="CK26" s="89"/>
      <c r="CL26" s="89"/>
      <c r="CM26" s="90"/>
      <c r="CO26" s="89" t="s">
        <v>9</v>
      </c>
      <c r="CP26" s="89"/>
      <c r="CQ26" s="89"/>
      <c r="CR26" s="89"/>
      <c r="CS26" s="90"/>
      <c r="CU26" s="89" t="s">
        <v>9</v>
      </c>
      <c r="CV26" s="89"/>
      <c r="CW26" s="89"/>
      <c r="CX26" s="89"/>
      <c r="CY26" s="90"/>
    </row>
    <row r="27" spans="1:103" x14ac:dyDescent="0.2">
      <c r="A27" s="2" t="s">
        <v>90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>
        <v>115.4</v>
      </c>
      <c r="CS27" s="75"/>
      <c r="CU27" s="31">
        <v>115.4</v>
      </c>
      <c r="CV27" s="31">
        <v>115.4</v>
      </c>
      <c r="CW27" s="31">
        <v>115.4</v>
      </c>
      <c r="CX27" s="31">
        <v>115.4</v>
      </c>
      <c r="CY27" s="75"/>
    </row>
    <row r="28" spans="1:103" x14ac:dyDescent="0.2">
      <c r="A28" s="2" t="s">
        <v>91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>
        <v>924</v>
      </c>
      <c r="CS28" s="75"/>
      <c r="CU28" s="31">
        <v>954.8</v>
      </c>
      <c r="CV28" s="31">
        <v>1005.6</v>
      </c>
      <c r="CW28" s="31">
        <v>979</v>
      </c>
      <c r="CX28" s="31">
        <v>1007.5</v>
      </c>
      <c r="CY28" s="75"/>
    </row>
    <row r="29" spans="1:103" x14ac:dyDescent="0.2">
      <c r="A29" s="2" t="s">
        <v>175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150.30000000000001</v>
      </c>
      <c r="CR29" s="85">
        <v>152.4</v>
      </c>
      <c r="CS29" s="75"/>
      <c r="CU29" s="31">
        <v>154.4</v>
      </c>
      <c r="CV29" s="31">
        <v>156.4</v>
      </c>
      <c r="CW29" s="31">
        <v>150.30000000000001</v>
      </c>
      <c r="CX29" s="31">
        <v>152.4</v>
      </c>
      <c r="CY29" s="75"/>
    </row>
    <row r="30" spans="1:103" x14ac:dyDescent="0.2">
      <c r="A30" s="2" t="s">
        <v>23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>
        <f>+'Balance Sheet'!CC18</f>
        <v>2150.6</v>
      </c>
      <c r="CS30" s="75"/>
      <c r="CU30" s="31">
        <v>2245.5</v>
      </c>
      <c r="CV30" s="31">
        <v>2405</v>
      </c>
      <c r="CW30" s="31">
        <v>2397.1</v>
      </c>
      <c r="CX30" s="31">
        <v>2553.4</v>
      </c>
      <c r="CY30" s="75"/>
    </row>
    <row r="31" spans="1:103" x14ac:dyDescent="0.2">
      <c r="A31" s="2" t="s">
        <v>204</v>
      </c>
      <c r="C31" s="85">
        <v>45.2348993288591</v>
      </c>
      <c r="D31" s="85">
        <v>75.033557046979894</v>
      </c>
      <c r="E31" s="85">
        <v>115.167785234899</v>
      </c>
      <c r="F31" s="85">
        <v>102.55033557047</v>
      </c>
      <c r="G31" s="75"/>
      <c r="H31" s="31"/>
      <c r="I31" s="85">
        <v>157.85234899328901</v>
      </c>
      <c r="J31" s="85">
        <v>163.89261744966399</v>
      </c>
      <c r="K31" s="85">
        <v>156.77852348993301</v>
      </c>
      <c r="L31" s="85">
        <v>137.315436241611</v>
      </c>
      <c r="M31" s="75"/>
      <c r="N31" s="31"/>
      <c r="O31" s="85">
        <v>266.71140939597302</v>
      </c>
      <c r="P31" s="85">
        <v>311.275167785235</v>
      </c>
      <c r="Q31" s="85">
        <v>309.530201342282</v>
      </c>
      <c r="R31" s="85">
        <v>267.785234899329</v>
      </c>
      <c r="S31" s="75"/>
      <c r="T31" s="31"/>
      <c r="U31" s="85">
        <v>297.315436241611</v>
      </c>
      <c r="V31" s="85">
        <v>379.194630872483</v>
      </c>
      <c r="W31" s="85">
        <v>378.65771812080499</v>
      </c>
      <c r="X31" s="85">
        <v>303.35570469798699</v>
      </c>
      <c r="Y31" s="75"/>
      <c r="Z31" s="31"/>
      <c r="AA31" s="85">
        <v>306.48322147650998</v>
      </c>
      <c r="AB31" s="85">
        <v>347.24832214765098</v>
      </c>
      <c r="AC31" s="85">
        <v>359.86577181208099</v>
      </c>
      <c r="AD31" s="85">
        <v>365.77181208053702</v>
      </c>
      <c r="AE31" s="75"/>
      <c r="AF31" s="31"/>
      <c r="AG31" s="85">
        <v>455.570469798658</v>
      </c>
      <c r="AH31" s="85">
        <v>508.724832214765</v>
      </c>
      <c r="AI31" s="85">
        <v>556.24161073825496</v>
      </c>
      <c r="AJ31" s="85">
        <v>551.00671140939596</v>
      </c>
      <c r="AK31" s="75"/>
      <c r="AL31" s="31"/>
      <c r="AM31" s="85">
        <v>647.11409395973203</v>
      </c>
      <c r="AN31" s="85">
        <v>663.08724832214796</v>
      </c>
      <c r="AO31" s="85">
        <v>640.40268456375804</v>
      </c>
      <c r="AP31" s="85">
        <f>(4429)/7.45</f>
        <v>594.49664429530196</v>
      </c>
      <c r="AQ31" s="75"/>
      <c r="AR31" s="31"/>
      <c r="AS31" s="85">
        <v>602.81879194630903</v>
      </c>
      <c r="AT31" s="85">
        <v>361.34228187919501</v>
      </c>
      <c r="AU31" s="85">
        <v>369.26174496644302</v>
      </c>
      <c r="AV31" s="85">
        <v>256.24161073825502</v>
      </c>
      <c r="AW31" s="75"/>
      <c r="AX31" s="31"/>
      <c r="AY31" s="85">
        <v>372.61744966443001</v>
      </c>
      <c r="AZ31" s="85">
        <v>381.07382550335598</v>
      </c>
      <c r="BA31" s="85">
        <v>369.530201342282</v>
      </c>
      <c r="BB31" s="85">
        <v>283.35570469798699</v>
      </c>
      <c r="BC31" s="75"/>
      <c r="BD31" s="31"/>
      <c r="BE31" s="85">
        <v>268.32214765100701</v>
      </c>
      <c r="BF31" s="85">
        <v>269.530201342282</v>
      </c>
      <c r="BG31" s="85">
        <v>284.429530201342</v>
      </c>
      <c r="BH31" s="85">
        <v>152.348993288591</v>
      </c>
      <c r="BI31" s="75"/>
      <c r="BJ31" s="31"/>
      <c r="BK31" s="85">
        <v>177.44966442953</v>
      </c>
      <c r="BL31" s="85">
        <v>193.020134228188</v>
      </c>
      <c r="BM31" s="85">
        <v>167.51677852348999</v>
      </c>
      <c r="BN31" s="85">
        <v>88.9</v>
      </c>
      <c r="BO31" s="75"/>
      <c r="BP31" s="31"/>
      <c r="BQ31" s="85">
        <v>158.9</v>
      </c>
      <c r="BR31" s="85">
        <v>188.2</v>
      </c>
      <c r="BS31" s="85">
        <v>174.6</v>
      </c>
      <c r="BT31" s="31">
        <v>-68.400000000000006</v>
      </c>
      <c r="BU31" s="75"/>
      <c r="BV31" s="31"/>
      <c r="BW31" s="31">
        <v>616.79999999999995</v>
      </c>
      <c r="BX31" s="31">
        <v>742.3</v>
      </c>
      <c r="BY31" s="31">
        <v>720.1</v>
      </c>
      <c r="BZ31" s="31">
        <v>293.2</v>
      </c>
      <c r="CA31" s="75"/>
      <c r="CB31" s="199"/>
      <c r="CC31" s="31">
        <v>432.7</v>
      </c>
      <c r="CD31" s="31">
        <v>409.5</v>
      </c>
      <c r="CE31" s="31">
        <v>307.5</v>
      </c>
      <c r="CF31" s="31">
        <v>248.3</v>
      </c>
      <c r="CG31" s="75"/>
      <c r="CH31" s="199"/>
      <c r="CI31" s="31">
        <v>339</v>
      </c>
      <c r="CJ31" s="31">
        <v>336.1</v>
      </c>
      <c r="CK31" s="31">
        <v>349.9</v>
      </c>
      <c r="CL31" s="31">
        <v>242.2</v>
      </c>
      <c r="CM31" s="75"/>
      <c r="CO31" s="31">
        <v>378.1</v>
      </c>
      <c r="CP31" s="31">
        <v>323.8</v>
      </c>
      <c r="CQ31" s="31">
        <v>194.2</v>
      </c>
      <c r="CR31" s="31">
        <v>-25.9</v>
      </c>
      <c r="CS31" s="75"/>
      <c r="CU31" s="31">
        <v>30.5</v>
      </c>
      <c r="CV31" s="31">
        <v>186.1</v>
      </c>
      <c r="CW31" s="31">
        <v>96.7</v>
      </c>
      <c r="CX31" s="31">
        <v>13.2</v>
      </c>
      <c r="CY31" s="75"/>
    </row>
    <row r="32" spans="1:103" x14ac:dyDescent="0.2">
      <c r="A32" s="2" t="s">
        <v>30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2017-2021'!U91</f>
        <v>1102</v>
      </c>
      <c r="CP32" s="31">
        <f>+'Segment Data 2017-2021'!V91</f>
        <v>1186</v>
      </c>
      <c r="CQ32" s="31">
        <v>1047.5</v>
      </c>
      <c r="CR32" s="31">
        <v>1050.5</v>
      </c>
      <c r="CS32" s="75"/>
      <c r="CU32" s="31">
        <v>1139.7</v>
      </c>
      <c r="CV32" s="31">
        <f>+'Segment Data 2017-2021'!AB91</f>
        <v>1348.1000000000001</v>
      </c>
      <c r="CW32" s="31">
        <f>+'Segment Data 2017-2021'!AC91</f>
        <v>1226</v>
      </c>
      <c r="CX32" s="31">
        <f>+'Segment Data 2017-2021'!AD91</f>
        <v>1173.0999999999999</v>
      </c>
      <c r="CY32" s="75"/>
    </row>
    <row r="33" spans="1:103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  <c r="CU33" s="31"/>
      <c r="CV33" s="31"/>
      <c r="CW33" s="31"/>
      <c r="CX33" s="31"/>
      <c r="CY33" s="75"/>
    </row>
    <row r="34" spans="1:103" s="45" customFormat="1" x14ac:dyDescent="0.2">
      <c r="A34" s="43" t="s">
        <v>42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  <c r="CU34" s="89"/>
      <c r="CV34" s="89"/>
      <c r="CW34" s="89"/>
      <c r="CX34" s="89"/>
      <c r="CY34" s="90"/>
    </row>
    <row r="35" spans="1:103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  <c r="CU35" s="31"/>
      <c r="CV35" s="31"/>
      <c r="CW35" s="31"/>
      <c r="CX35" s="31"/>
      <c r="CY35" s="75"/>
    </row>
    <row r="36" spans="1:103" x14ac:dyDescent="0.2">
      <c r="A36" s="2" t="s">
        <v>55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>
        <f>+Cashflow!CR11</f>
        <v>110.9</v>
      </c>
      <c r="CS36" s="75">
        <f>SUM(CO36:CR36)</f>
        <v>136.30000000000004</v>
      </c>
      <c r="CU36" s="85">
        <v>-22.3</v>
      </c>
      <c r="CV36" s="85">
        <f>+Cashflow!CV11</f>
        <v>-99.6</v>
      </c>
      <c r="CW36" s="85">
        <f>+Cashflow!CW11</f>
        <v>145.80000000000001</v>
      </c>
      <c r="CX36" s="85">
        <f>+Cashflow!CX11</f>
        <v>183.9</v>
      </c>
      <c r="CY36" s="75">
        <f>SUM(CU36:CX36)</f>
        <v>207.8</v>
      </c>
    </row>
    <row r="37" spans="1:103" x14ac:dyDescent="0.2">
      <c r="A37" s="2" t="s">
        <v>56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>
        <f>+Cashflow!CR15</f>
        <v>-41.1</v>
      </c>
      <c r="CS37" s="75">
        <f>SUM(CO37:CR37)</f>
        <v>-65.099999999999994</v>
      </c>
      <c r="CU37" s="85">
        <v>-22.9</v>
      </c>
      <c r="CV37" s="85">
        <f>+Cashflow!CV15</f>
        <v>-47.7</v>
      </c>
      <c r="CW37" s="85">
        <f>+Cashflow!CW15</f>
        <v>-38.1</v>
      </c>
      <c r="CX37" s="85">
        <f>+Cashflow!CX15</f>
        <v>-82.4</v>
      </c>
      <c r="CY37" s="75">
        <f>SUM(CU37:CX37)</f>
        <v>-191.1</v>
      </c>
    </row>
    <row r="38" spans="1:103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  <c r="CY38" s="36"/>
    </row>
    <row r="39" spans="1:103" s="45" customFormat="1" x14ac:dyDescent="0.2">
      <c r="A39" s="43" t="s">
        <v>15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  <c r="CU39" s="51"/>
      <c r="CV39" s="51"/>
      <c r="CW39" s="51"/>
      <c r="CX39" s="51"/>
      <c r="CY39" s="52"/>
    </row>
    <row r="40" spans="1:103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  <c r="CY40" s="36"/>
    </row>
    <row r="41" spans="1:103" ht="12.75" customHeight="1" x14ac:dyDescent="0.2">
      <c r="A41" s="2" t="s">
        <v>16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48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48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48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0.42261403595661434</v>
      </c>
      <c r="CR41" s="10">
        <f>+(CR28+CR29)/CR30</f>
        <v>0.50051148516693023</v>
      </c>
      <c r="CS41" s="41"/>
      <c r="CU41" s="10">
        <f>+(CU28+CU29)/CU30</f>
        <v>0.49396570919617011</v>
      </c>
      <c r="CV41" s="10">
        <f>+(CV28+CV29)/CV30</f>
        <v>0.48316008316008319</v>
      </c>
      <c r="CW41" s="10">
        <f>+(CW28+CW29)/CW30</f>
        <v>0.47111092570188978</v>
      </c>
      <c r="CX41" s="10">
        <f>+(CX28+CX29)/CX30</f>
        <v>0.45425706900603119</v>
      </c>
      <c r="CY41" s="41"/>
    </row>
    <row r="42" spans="1:103" ht="12.75" customHeight="1" x14ac:dyDescent="0.2">
      <c r="A42" s="2" t="s">
        <v>101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>
        <v>42976</v>
      </c>
      <c r="CS42" s="36"/>
      <c r="CU42" s="13">
        <v>42976</v>
      </c>
      <c r="CV42" s="13">
        <v>42976</v>
      </c>
      <c r="CW42" s="13">
        <v>42976</v>
      </c>
      <c r="CX42" s="13">
        <v>42976</v>
      </c>
      <c r="CY42" s="36"/>
    </row>
    <row r="43" spans="1:103" ht="12.75" customHeight="1" x14ac:dyDescent="0.2">
      <c r="A43" s="2" t="s">
        <v>136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>
        <v>0</v>
      </c>
      <c r="CS43" s="36"/>
      <c r="CU43" s="13">
        <v>0</v>
      </c>
      <c r="CV43" s="13">
        <v>0</v>
      </c>
      <c r="CW43" s="13">
        <v>0</v>
      </c>
      <c r="CX43" s="13">
        <v>0</v>
      </c>
      <c r="CY43" s="36"/>
    </row>
    <row r="44" spans="1:103" ht="12.75" customHeight="1" x14ac:dyDescent="0.2">
      <c r="A44" s="2" t="s">
        <v>104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-0.5</v>
      </c>
      <c r="CQ44" s="16">
        <v>-0.4</v>
      </c>
      <c r="CR44" s="16">
        <v>-1</v>
      </c>
      <c r="CS44" s="39">
        <v>-2.7</v>
      </c>
      <c r="CU44" s="280" t="s">
        <v>202</v>
      </c>
      <c r="CV44" s="16">
        <v>0.3</v>
      </c>
      <c r="CW44" s="16">
        <v>0.1</v>
      </c>
      <c r="CX44" s="16">
        <v>-0.3</v>
      </c>
      <c r="CY44" s="39">
        <v>-0.1</v>
      </c>
    </row>
    <row r="45" spans="1:103" ht="12.75" customHeight="1" x14ac:dyDescent="0.2">
      <c r="A45" s="2" t="s">
        <v>129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>
        <v>0</v>
      </c>
      <c r="CS45" s="39">
        <f>SUM(CO45:CR45)</f>
        <v>0</v>
      </c>
      <c r="CU45" s="16">
        <v>0</v>
      </c>
      <c r="CV45" s="16">
        <v>0</v>
      </c>
      <c r="CW45" s="16">
        <v>0</v>
      </c>
      <c r="CX45" s="16">
        <v>0</v>
      </c>
      <c r="CY45" s="39">
        <f>SUM(CU45:CX45)</f>
        <v>0</v>
      </c>
    </row>
    <row r="46" spans="1:103" ht="12.75" customHeight="1" x14ac:dyDescent="0.2">
      <c r="A46" s="2" t="s">
        <v>128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>
        <v>22</v>
      </c>
      <c r="CS46" s="36"/>
      <c r="CU46" s="268">
        <f>+CU28*1000/CU42</f>
        <v>22.21705137751303</v>
      </c>
      <c r="CV46" s="268">
        <f t="shared" ref="CV46:CX46" si="0">+CV28*1000/CV42</f>
        <v>23.399106478034252</v>
      </c>
      <c r="CW46" s="268">
        <f t="shared" si="0"/>
        <v>22.780156366344006</v>
      </c>
      <c r="CX46" s="268">
        <f t="shared" si="0"/>
        <v>23.443317200297841</v>
      </c>
      <c r="CY46" s="36"/>
    </row>
    <row r="47" spans="1:103" s="164" customFormat="1" ht="12.75" customHeight="1" x14ac:dyDescent="0.2">
      <c r="A47" s="164" t="s">
        <v>127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>
        <v>271</v>
      </c>
      <c r="CS47" s="190"/>
      <c r="CU47" s="192">
        <v>275.8</v>
      </c>
      <c r="CV47" s="192">
        <v>288</v>
      </c>
      <c r="CW47" s="192">
        <v>279</v>
      </c>
      <c r="CX47" s="192">
        <v>315.60000000000002</v>
      </c>
      <c r="CY47" s="190"/>
    </row>
    <row r="48" spans="1:103" ht="11.1" customHeight="1" x14ac:dyDescent="0.2">
      <c r="A48" s="149" t="s">
        <v>133</v>
      </c>
      <c r="AC48" s="20"/>
      <c r="AD48" s="20"/>
      <c r="AG48" s="20"/>
      <c r="AH48" s="20"/>
      <c r="BP48" s="147"/>
      <c r="BQ48" s="147" t="s">
        <v>160</v>
      </c>
      <c r="CF48" s="235"/>
      <c r="CG48" s="235"/>
      <c r="CL48" s="235"/>
      <c r="CM48" s="235"/>
    </row>
    <row r="49" spans="1:69" ht="11.1" customHeight="1" x14ac:dyDescent="0.2">
      <c r="A49" s="149" t="s">
        <v>134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161</v>
      </c>
    </row>
    <row r="50" spans="1:69" ht="11.1" customHeight="1" x14ac:dyDescent="0.2">
      <c r="A50" s="149" t="s">
        <v>132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2">
    <mergeCell ref="CO2:CS2"/>
    <mergeCell ref="CI1:CM1"/>
    <mergeCell ref="CI2:CM2"/>
    <mergeCell ref="AS1:AW1"/>
    <mergeCell ref="AS2:AW2"/>
    <mergeCell ref="BK1:BO1"/>
    <mergeCell ref="BK2:BO2"/>
    <mergeCell ref="BQ1:BU1"/>
    <mergeCell ref="BQ2:BU2"/>
    <mergeCell ref="CC1:CG1"/>
    <mergeCell ref="CC2:CG2"/>
    <mergeCell ref="BE1:BI1"/>
    <mergeCell ref="BE2:BI2"/>
    <mergeCell ref="AY1:BC1"/>
    <mergeCell ref="AY2:BC2"/>
    <mergeCell ref="BW1:CA1"/>
    <mergeCell ref="CU2:CY2"/>
    <mergeCell ref="C2:G2"/>
    <mergeCell ref="C1:G1"/>
    <mergeCell ref="O2:S2"/>
    <mergeCell ref="I1:M1"/>
    <mergeCell ref="I2:M2"/>
    <mergeCell ref="O1:S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48"/>
  <sheetViews>
    <sheetView showGridLines="0" zoomScaleNormal="100" zoomScaleSheetLayoutView="85" workbookViewId="0">
      <pane xSplit="1" ySplit="3" topLeftCell="BY4" activePane="bottomRight" state="frozen"/>
      <selection activeCell="O4" sqref="O4"/>
      <selection pane="topRight" activeCell="O4" sqref="O4"/>
      <selection pane="bottomLeft" activeCell="O4" sqref="O4"/>
      <selection pane="bottomRight" activeCell="CH6" sqref="CH6"/>
    </sheetView>
  </sheetViews>
  <sheetFormatPr defaultColWidth="9.140625" defaultRowHeight="12.75" x14ac:dyDescent="0.2"/>
  <cols>
    <col min="1" max="1" width="36.42578125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3.7109375" style="15" customWidth="1"/>
    <col min="78" max="81" width="8.7109375" style="15" customWidth="1"/>
    <col min="82" max="82" width="3.7109375" style="15" customWidth="1"/>
    <col min="83" max="16384" width="9.140625" style="15"/>
  </cols>
  <sheetData>
    <row r="1" spans="1:86" x14ac:dyDescent="0.2">
      <c r="B1" s="93"/>
      <c r="C1" s="288"/>
      <c r="D1" s="288"/>
      <c r="E1" s="288"/>
      <c r="F1" s="288"/>
      <c r="G1" s="93"/>
      <c r="H1" s="288"/>
      <c r="I1" s="288"/>
      <c r="J1" s="288"/>
      <c r="K1" s="288"/>
      <c r="L1" s="93"/>
      <c r="M1" s="288"/>
      <c r="N1" s="288"/>
      <c r="O1" s="288"/>
      <c r="P1" s="288"/>
      <c r="Q1" s="93"/>
      <c r="R1" s="288"/>
      <c r="S1" s="288"/>
      <c r="T1" s="288"/>
      <c r="U1" s="288"/>
      <c r="V1" s="93"/>
      <c r="W1" s="288"/>
      <c r="X1" s="288"/>
      <c r="Y1" s="288"/>
      <c r="Z1" s="288"/>
      <c r="AB1" s="288"/>
      <c r="AC1" s="288"/>
      <c r="AD1" s="288"/>
      <c r="AE1" s="288"/>
      <c r="AG1" s="288"/>
      <c r="AH1" s="288"/>
      <c r="AI1" s="288"/>
      <c r="AJ1" s="288"/>
      <c r="AL1" s="288"/>
      <c r="AM1" s="288"/>
      <c r="AN1" s="288"/>
      <c r="AO1" s="288"/>
      <c r="AQ1" s="288"/>
      <c r="AR1" s="288"/>
      <c r="AS1" s="288"/>
      <c r="AT1" s="288"/>
      <c r="AV1" s="288"/>
      <c r="AW1" s="288"/>
      <c r="AX1" s="288"/>
      <c r="AY1" s="288"/>
      <c r="BA1" s="288"/>
      <c r="BB1" s="288"/>
      <c r="BC1" s="288"/>
      <c r="BD1" s="288"/>
      <c r="BF1" s="288"/>
      <c r="BG1" s="288"/>
      <c r="BH1" s="288"/>
      <c r="BI1" s="288"/>
      <c r="BK1" s="285" t="s">
        <v>165</v>
      </c>
      <c r="BL1" s="285"/>
      <c r="BM1" s="285"/>
      <c r="BN1" s="285"/>
      <c r="BO1" s="285"/>
    </row>
    <row r="2" spans="1:86" x14ac:dyDescent="0.2">
      <c r="A2" s="94" t="s">
        <v>152</v>
      </c>
      <c r="B2" s="95"/>
      <c r="C2" s="286" t="s">
        <v>111</v>
      </c>
      <c r="D2" s="287"/>
      <c r="E2" s="287"/>
      <c r="F2" s="287"/>
      <c r="G2" s="95"/>
      <c r="H2" s="286" t="s">
        <v>112</v>
      </c>
      <c r="I2" s="287"/>
      <c r="J2" s="287"/>
      <c r="K2" s="287"/>
      <c r="L2" s="95"/>
      <c r="M2" s="286" t="s">
        <v>113</v>
      </c>
      <c r="N2" s="287"/>
      <c r="O2" s="287"/>
      <c r="P2" s="287"/>
      <c r="Q2" s="95"/>
      <c r="R2" s="286" t="s">
        <v>114</v>
      </c>
      <c r="S2" s="287"/>
      <c r="T2" s="287"/>
      <c r="U2" s="287"/>
      <c r="V2" s="95"/>
      <c r="W2" s="286" t="s">
        <v>115</v>
      </c>
      <c r="X2" s="287"/>
      <c r="Y2" s="287"/>
      <c r="Z2" s="287"/>
      <c r="AB2" s="286" t="s">
        <v>116</v>
      </c>
      <c r="AC2" s="287"/>
      <c r="AD2" s="287"/>
      <c r="AE2" s="287"/>
      <c r="AG2" s="286" t="s">
        <v>121</v>
      </c>
      <c r="AH2" s="287"/>
      <c r="AI2" s="287"/>
      <c r="AJ2" s="287"/>
      <c r="AL2" s="286" t="s">
        <v>120</v>
      </c>
      <c r="AM2" s="287"/>
      <c r="AN2" s="287"/>
      <c r="AO2" s="287"/>
      <c r="AQ2" s="286" t="s">
        <v>119</v>
      </c>
      <c r="AR2" s="287"/>
      <c r="AS2" s="287"/>
      <c r="AT2" s="287"/>
      <c r="AV2" s="286" t="s">
        <v>118</v>
      </c>
      <c r="AW2" s="287"/>
      <c r="AX2" s="287"/>
      <c r="AY2" s="287"/>
      <c r="BA2" s="286" t="s">
        <v>117</v>
      </c>
      <c r="BB2" s="287"/>
      <c r="BC2" s="287"/>
      <c r="BD2" s="287"/>
      <c r="BF2" s="286" t="s">
        <v>131</v>
      </c>
      <c r="BG2" s="287"/>
      <c r="BH2" s="287"/>
      <c r="BI2" s="287"/>
      <c r="BK2" s="286" t="s">
        <v>159</v>
      </c>
      <c r="BL2" s="287"/>
      <c r="BM2" s="287"/>
      <c r="BN2" s="287"/>
      <c r="BP2" s="286" t="s">
        <v>173</v>
      </c>
      <c r="BQ2" s="287"/>
      <c r="BR2" s="287"/>
      <c r="BS2" s="287"/>
      <c r="BU2" s="286" t="s">
        <v>177</v>
      </c>
      <c r="BV2" s="287"/>
      <c r="BW2" s="287"/>
      <c r="BX2" s="287"/>
      <c r="BZ2" s="286" t="s">
        <v>179</v>
      </c>
      <c r="CA2" s="287"/>
      <c r="CB2" s="287"/>
      <c r="CC2" s="287"/>
      <c r="CE2" s="286" t="s">
        <v>200</v>
      </c>
      <c r="CF2" s="287"/>
      <c r="CG2" s="287"/>
      <c r="CH2" s="287"/>
    </row>
    <row r="3" spans="1:86" s="187" customFormat="1" x14ac:dyDescent="0.2">
      <c r="A3" s="183" t="s">
        <v>122</v>
      </c>
      <c r="B3" s="185"/>
      <c r="C3" s="185" t="s">
        <v>9</v>
      </c>
      <c r="D3" s="185" t="s">
        <v>10</v>
      </c>
      <c r="E3" s="185" t="s">
        <v>11</v>
      </c>
      <c r="F3" s="185" t="s">
        <v>12</v>
      </c>
      <c r="G3" s="185"/>
      <c r="H3" s="185" t="s">
        <v>9</v>
      </c>
      <c r="I3" s="185" t="s">
        <v>10</v>
      </c>
      <c r="J3" s="185" t="s">
        <v>11</v>
      </c>
      <c r="K3" s="185" t="s">
        <v>12</v>
      </c>
      <c r="L3" s="185"/>
      <c r="M3" s="185" t="s">
        <v>9</v>
      </c>
      <c r="N3" s="185" t="s">
        <v>10</v>
      </c>
      <c r="O3" s="185" t="s">
        <v>11</v>
      </c>
      <c r="P3" s="185" t="s">
        <v>12</v>
      </c>
      <c r="Q3" s="185"/>
      <c r="R3" s="185" t="s">
        <v>9</v>
      </c>
      <c r="S3" s="185" t="s">
        <v>10</v>
      </c>
      <c r="T3" s="185" t="s">
        <v>11</v>
      </c>
      <c r="U3" s="185" t="s">
        <v>12</v>
      </c>
      <c r="V3" s="185"/>
      <c r="W3" s="185" t="s">
        <v>9</v>
      </c>
      <c r="X3" s="185" t="s">
        <v>10</v>
      </c>
      <c r="Y3" s="185" t="s">
        <v>11</v>
      </c>
      <c r="Z3" s="185" t="s">
        <v>12</v>
      </c>
      <c r="AB3" s="185" t="s">
        <v>9</v>
      </c>
      <c r="AC3" s="185" t="s">
        <v>10</v>
      </c>
      <c r="AD3" s="185" t="s">
        <v>11</v>
      </c>
      <c r="AE3" s="185" t="s">
        <v>12</v>
      </c>
      <c r="AG3" s="185" t="s">
        <v>9</v>
      </c>
      <c r="AH3" s="185" t="s">
        <v>10</v>
      </c>
      <c r="AI3" s="185" t="s">
        <v>11</v>
      </c>
      <c r="AJ3" s="185" t="s">
        <v>12</v>
      </c>
      <c r="AL3" s="185" t="s">
        <v>9</v>
      </c>
      <c r="AM3" s="185" t="s">
        <v>10</v>
      </c>
      <c r="AN3" s="185" t="s">
        <v>11</v>
      </c>
      <c r="AO3" s="185" t="s">
        <v>12</v>
      </c>
      <c r="AQ3" s="185" t="s">
        <v>9</v>
      </c>
      <c r="AR3" s="185" t="s">
        <v>10</v>
      </c>
      <c r="AS3" s="185" t="s">
        <v>11</v>
      </c>
      <c r="AT3" s="185" t="s">
        <v>12</v>
      </c>
      <c r="AV3" s="185" t="s">
        <v>9</v>
      </c>
      <c r="AW3" s="186" t="s">
        <v>10</v>
      </c>
      <c r="AX3" s="186" t="s">
        <v>11</v>
      </c>
      <c r="AY3" s="186" t="s">
        <v>12</v>
      </c>
      <c r="AZ3" s="188"/>
      <c r="BA3" s="186" t="s">
        <v>9</v>
      </c>
      <c r="BB3" s="186" t="s">
        <v>10</v>
      </c>
      <c r="BC3" s="186" t="s">
        <v>11</v>
      </c>
      <c r="BD3" s="186" t="s">
        <v>12</v>
      </c>
      <c r="BE3" s="188"/>
      <c r="BF3" s="186" t="s">
        <v>9</v>
      </c>
      <c r="BG3" s="186" t="s">
        <v>10</v>
      </c>
      <c r="BH3" s="186" t="s">
        <v>11</v>
      </c>
      <c r="BI3" s="186" t="s">
        <v>12</v>
      </c>
      <c r="BJ3" s="188"/>
      <c r="BK3" s="186" t="s">
        <v>9</v>
      </c>
      <c r="BL3" s="186" t="s">
        <v>10</v>
      </c>
      <c r="BM3" s="186" t="s">
        <v>11</v>
      </c>
      <c r="BN3" s="186" t="s">
        <v>12</v>
      </c>
      <c r="BP3" s="186" t="s">
        <v>9</v>
      </c>
      <c r="BQ3" s="186" t="s">
        <v>10</v>
      </c>
      <c r="BR3" s="186" t="s">
        <v>11</v>
      </c>
      <c r="BS3" s="186" t="s">
        <v>12</v>
      </c>
      <c r="BU3" s="186" t="s">
        <v>9</v>
      </c>
      <c r="BV3" s="186" t="s">
        <v>10</v>
      </c>
      <c r="BW3" s="186" t="s">
        <v>11</v>
      </c>
      <c r="BX3" s="186" t="s">
        <v>12</v>
      </c>
      <c r="BZ3" s="186" t="s">
        <v>9</v>
      </c>
      <c r="CA3" s="186" t="s">
        <v>10</v>
      </c>
      <c r="CB3" s="186" t="s">
        <v>11</v>
      </c>
      <c r="CC3" s="186" t="s">
        <v>12</v>
      </c>
      <c r="CE3" s="186" t="s">
        <v>9</v>
      </c>
      <c r="CF3" s="186" t="s">
        <v>10</v>
      </c>
      <c r="CG3" s="186" t="s">
        <v>11</v>
      </c>
      <c r="CH3" s="186" t="s">
        <v>12</v>
      </c>
    </row>
    <row r="4" spans="1:86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  <c r="CF4" s="97"/>
      <c r="CH4" s="97"/>
    </row>
    <row r="5" spans="1:86" x14ac:dyDescent="0.2">
      <c r="A5" s="96" t="s">
        <v>17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  <c r="CF5" s="97"/>
      <c r="CH5" s="97"/>
    </row>
    <row r="6" spans="1:86" x14ac:dyDescent="0.2">
      <c r="A6" s="15" t="s">
        <v>57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>
        <v>626.9</v>
      </c>
      <c r="CE6" s="200">
        <v>620.20000000000005</v>
      </c>
      <c r="CF6" s="201">
        <v>626.6</v>
      </c>
      <c r="CG6" s="200">
        <v>625.29999999999995</v>
      </c>
      <c r="CH6" s="201">
        <v>621.70000000000005</v>
      </c>
    </row>
    <row r="7" spans="1:86" x14ac:dyDescent="0.2">
      <c r="A7" s="15" t="s">
        <v>58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>
        <v>657.6</v>
      </c>
      <c r="CE7" s="200">
        <v>662.6</v>
      </c>
      <c r="CF7" s="201">
        <v>698</v>
      </c>
      <c r="CG7" s="200">
        <v>715.6</v>
      </c>
      <c r="CH7" s="201">
        <v>782.9</v>
      </c>
    </row>
    <row r="8" spans="1:86" s="98" customFormat="1" x14ac:dyDescent="0.2">
      <c r="A8" s="98" t="s">
        <v>59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>
        <v>24.1</v>
      </c>
      <c r="CE8" s="203">
        <f>1+32.1</f>
        <v>33.1</v>
      </c>
      <c r="CF8" s="204">
        <f>1+36.1</f>
        <v>37.1</v>
      </c>
      <c r="CG8" s="203">
        <f>1+27</f>
        <v>28</v>
      </c>
      <c r="CH8" s="204">
        <v>25.7</v>
      </c>
    </row>
    <row r="9" spans="1:86" s="100" customFormat="1" x14ac:dyDescent="0.2">
      <c r="A9" s="100" t="s">
        <v>60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>
        <f>SUM(CC6:CC8)</f>
        <v>1308.5999999999999</v>
      </c>
      <c r="CE9" s="206">
        <f>SUM(CE6:CE8)</f>
        <v>1315.9</v>
      </c>
      <c r="CF9" s="207">
        <f t="shared" ref="CF9:CH9" si="0">SUM(CF6:CF8)</f>
        <v>1361.6999999999998</v>
      </c>
      <c r="CG9" s="206">
        <f t="shared" si="0"/>
        <v>1368.9</v>
      </c>
      <c r="CH9" s="207">
        <f t="shared" si="0"/>
        <v>1430.3</v>
      </c>
    </row>
    <row r="10" spans="1:86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  <c r="CE10" s="200"/>
      <c r="CF10" s="201"/>
      <c r="CG10" s="200"/>
      <c r="CH10" s="201"/>
    </row>
    <row r="11" spans="1:86" x14ac:dyDescent="0.2">
      <c r="A11" s="15" t="s">
        <v>61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>
        <v>243.6</v>
      </c>
      <c r="CE11" s="200">
        <v>243.7</v>
      </c>
      <c r="CF11" s="201">
        <v>294</v>
      </c>
      <c r="CG11" s="200">
        <v>278.60000000000002</v>
      </c>
      <c r="CH11" s="201">
        <v>287.39999999999998</v>
      </c>
    </row>
    <row r="12" spans="1:86" x14ac:dyDescent="0.2">
      <c r="A12" s="15" t="s">
        <v>19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>
        <f>333.2+21.3+4.6+0.1</f>
        <v>359.20000000000005</v>
      </c>
      <c r="CE12" s="200">
        <f>506.8+0.2</f>
        <v>507</v>
      </c>
      <c r="CF12" s="201">
        <f>723.9+0.2</f>
        <v>724.1</v>
      </c>
      <c r="CG12" s="200">
        <f>639.5+0.2</f>
        <v>639.70000000000005</v>
      </c>
      <c r="CH12" s="201">
        <f>528.9+97.3+8.8+0.2</f>
        <v>635.19999999999993</v>
      </c>
    </row>
    <row r="13" spans="1:86" x14ac:dyDescent="0.2">
      <c r="A13" s="15" t="s">
        <v>20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  <c r="CE13" s="200"/>
      <c r="CF13" s="201"/>
      <c r="CG13" s="200"/>
      <c r="CH13" s="201"/>
    </row>
    <row r="14" spans="1:86" s="104" customFormat="1" x14ac:dyDescent="0.2">
      <c r="A14" s="104" t="s">
        <v>21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>
        <v>239.2</v>
      </c>
      <c r="CE14" s="210">
        <v>178.9</v>
      </c>
      <c r="CF14" s="211">
        <v>25.2</v>
      </c>
      <c r="CG14" s="210">
        <v>109.9</v>
      </c>
      <c r="CH14" s="211">
        <v>200.5</v>
      </c>
    </row>
    <row r="15" spans="1:86" s="98" customFormat="1" x14ac:dyDescent="0.2">
      <c r="A15" s="98" t="s">
        <v>138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  <c r="CE15" s="203"/>
      <c r="CF15" s="204"/>
      <c r="CG15" s="203"/>
      <c r="CH15" s="204"/>
    </row>
    <row r="16" spans="1:86" s="102" customFormat="1" x14ac:dyDescent="0.2">
      <c r="A16" s="102" t="s">
        <v>22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>
        <f>SUM(CC11:CC15)</f>
        <v>842</v>
      </c>
      <c r="CE16" s="213">
        <f>SUM(CE11:CE15)</f>
        <v>929.6</v>
      </c>
      <c r="CF16" s="214">
        <f t="shared" ref="CF16:CH16" si="1">SUM(CF11:CF15)</f>
        <v>1043.3</v>
      </c>
      <c r="CG16" s="213">
        <f t="shared" si="1"/>
        <v>1028.2</v>
      </c>
      <c r="CH16" s="214">
        <f t="shared" si="1"/>
        <v>1123.0999999999999</v>
      </c>
    </row>
    <row r="17" spans="1:86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  <c r="CE17" s="203"/>
      <c r="CF17" s="204"/>
      <c r="CG17" s="203"/>
      <c r="CH17" s="204"/>
    </row>
    <row r="18" spans="1:86" s="100" customFormat="1" x14ac:dyDescent="0.2">
      <c r="A18" s="100" t="s">
        <v>23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>
        <f>CC16+CC9</f>
        <v>2150.6</v>
      </c>
      <c r="CE18" s="206">
        <f>CE16+CE9</f>
        <v>2245.5</v>
      </c>
      <c r="CF18" s="207">
        <f t="shared" ref="CF18:CH18" si="2">CF16+CF9</f>
        <v>2405</v>
      </c>
      <c r="CG18" s="206">
        <f t="shared" si="2"/>
        <v>2397.1000000000004</v>
      </c>
      <c r="CH18" s="207">
        <f t="shared" si="2"/>
        <v>2553.3999999999996</v>
      </c>
    </row>
    <row r="19" spans="1:86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  <c r="CE19" s="200"/>
      <c r="CF19" s="201"/>
      <c r="CG19" s="200"/>
      <c r="CH19" s="201"/>
    </row>
    <row r="20" spans="1:86" x14ac:dyDescent="0.2">
      <c r="A20" s="96" t="s">
        <v>18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  <c r="CE20" s="200"/>
      <c r="CF20" s="201"/>
      <c r="CG20" s="200"/>
      <c r="CH20" s="201"/>
    </row>
    <row r="21" spans="1:86" x14ac:dyDescent="0.2">
      <c r="A21" s="15" t="s">
        <v>24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>
        <v>924</v>
      </c>
      <c r="CE21" s="200">
        <v>954.8</v>
      </c>
      <c r="CF21" s="201">
        <v>1005.6</v>
      </c>
      <c r="CG21" s="200">
        <v>979</v>
      </c>
      <c r="CH21" s="201">
        <v>1007.5</v>
      </c>
    </row>
    <row r="22" spans="1:86" x14ac:dyDescent="0.2">
      <c r="A22" s="15" t="s">
        <v>175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>
        <v>152.4</v>
      </c>
      <c r="CE22" s="200">
        <v>154.4</v>
      </c>
      <c r="CF22" s="201">
        <v>156.4</v>
      </c>
      <c r="CG22" s="200">
        <v>150.30000000000001</v>
      </c>
      <c r="CH22" s="201">
        <v>152.4</v>
      </c>
    </row>
    <row r="23" spans="1:86" s="98" customFormat="1" x14ac:dyDescent="0.2">
      <c r="A23" s="98" t="s">
        <v>7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>
        <v>0</v>
      </c>
      <c r="CE23" s="203">
        <v>0</v>
      </c>
      <c r="CF23" s="204">
        <v>0</v>
      </c>
      <c r="CG23" s="203">
        <v>0</v>
      </c>
      <c r="CH23" s="204">
        <v>0</v>
      </c>
    </row>
    <row r="24" spans="1:86" x14ac:dyDescent="0.2">
      <c r="A24" s="15" t="s">
        <v>94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>
        <f>SUM(CC21:CC23)</f>
        <v>1076.4000000000001</v>
      </c>
      <c r="CE24" s="200">
        <f>SUM(CE21:CE23)</f>
        <v>1109.2</v>
      </c>
      <c r="CF24" s="201">
        <f t="shared" ref="CF24:CH24" si="3">SUM(CF21:CF23)</f>
        <v>1162</v>
      </c>
      <c r="CG24" s="200">
        <f t="shared" si="3"/>
        <v>1129.3</v>
      </c>
      <c r="CH24" s="201">
        <f t="shared" si="3"/>
        <v>1159.9000000000001</v>
      </c>
    </row>
    <row r="25" spans="1:86" x14ac:dyDescent="0.2">
      <c r="A25" s="15" t="s">
        <v>46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>
        <f>40.9+67.1</f>
        <v>108</v>
      </c>
      <c r="CE25" s="200">
        <f>53.5+66.1</f>
        <v>119.6</v>
      </c>
      <c r="CF25" s="201">
        <f>66.9+72.7</f>
        <v>139.60000000000002</v>
      </c>
      <c r="CG25" s="200">
        <f>59.2+74.8</f>
        <v>134</v>
      </c>
      <c r="CH25" s="201">
        <f>71.8+62.5</f>
        <v>134.30000000000001</v>
      </c>
    </row>
    <row r="26" spans="1:86" x14ac:dyDescent="0.2">
      <c r="A26" s="15" t="s">
        <v>77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>
        <v>200.6</v>
      </c>
      <c r="CE26" s="200">
        <v>196.8</v>
      </c>
      <c r="CF26" s="201">
        <v>198.5</v>
      </c>
      <c r="CG26" s="200">
        <v>192.8</v>
      </c>
      <c r="CH26" s="201">
        <v>196.4</v>
      </c>
    </row>
    <row r="27" spans="1:86" x14ac:dyDescent="0.2">
      <c r="A27" s="15" t="s">
        <v>78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>
        <v>12.8</v>
      </c>
      <c r="CE27" s="227">
        <v>12.8</v>
      </c>
      <c r="CF27" s="201">
        <v>13</v>
      </c>
      <c r="CG27" s="200">
        <v>14</v>
      </c>
      <c r="CH27" s="201">
        <v>17.5</v>
      </c>
    </row>
    <row r="28" spans="1:86" s="104" customFormat="1" x14ac:dyDescent="0.2">
      <c r="A28" s="104" t="s">
        <v>62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>
        <f>273.2+168+296.5+2.1+13</f>
        <v>752.80000000000007</v>
      </c>
      <c r="CE28" s="210">
        <f>309.3+480.1+17.7</f>
        <v>807.10000000000014</v>
      </c>
      <c r="CF28" s="211">
        <f>350.4+528.9+12.6</f>
        <v>891.9</v>
      </c>
      <c r="CG28" s="210">
        <f>373.6+506.1+47.3</f>
        <v>927</v>
      </c>
      <c r="CH28" s="211">
        <f>341.8+170.4+459.3+10.5+63.3</f>
        <v>1045.3</v>
      </c>
    </row>
    <row r="29" spans="1:86" s="104" customFormat="1" x14ac:dyDescent="0.2">
      <c r="A29" s="104" t="s">
        <v>139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  <c r="CE29" s="210"/>
      <c r="CF29" s="211"/>
      <c r="CG29" s="210"/>
      <c r="CH29" s="211"/>
    </row>
    <row r="30" spans="1:86" s="100" customFormat="1" x14ac:dyDescent="0.2">
      <c r="A30" s="100" t="s">
        <v>63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>
        <f>SUM(CC24:CC29)</f>
        <v>2150.6</v>
      </c>
      <c r="CE30" s="206">
        <f>SUM(CE24:CE29)</f>
        <v>2245.5</v>
      </c>
      <c r="CF30" s="207">
        <f t="shared" ref="CF30:CH30" si="4">SUM(CF24:CF29)</f>
        <v>2405</v>
      </c>
      <c r="CG30" s="206">
        <f t="shared" si="4"/>
        <v>2397.1</v>
      </c>
      <c r="CH30" s="207">
        <f t="shared" si="4"/>
        <v>2553.4</v>
      </c>
    </row>
    <row r="31" spans="1:86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  <c r="CE31" s="210"/>
      <c r="CF31" s="211"/>
      <c r="CG31" s="210"/>
      <c r="CH31" s="211"/>
    </row>
    <row r="32" spans="1:86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  <c r="CE32" s="220"/>
      <c r="CF32" s="221"/>
      <c r="CG32" s="220"/>
      <c r="CH32" s="221"/>
    </row>
    <row r="33" spans="1:86 16384:16384" s="108" customFormat="1" x14ac:dyDescent="0.2">
      <c r="A33" s="106" t="s">
        <v>64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  <c r="CE33" s="223"/>
      <c r="CF33" s="224"/>
      <c r="CG33" s="223"/>
      <c r="CH33" s="224"/>
    </row>
    <row r="34" spans="1:86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  <c r="CE34" s="200"/>
      <c r="CF34" s="201"/>
      <c r="CG34" s="200"/>
      <c r="CH34" s="201"/>
    </row>
    <row r="35" spans="1:86 16384:16384" x14ac:dyDescent="0.2">
      <c r="A35" s="15" t="s">
        <v>43</v>
      </c>
      <c r="C35" s="200">
        <v>369.1275167785235</v>
      </c>
      <c r="D35" s="201">
        <f>+C47</f>
        <v>375.83892617449663</v>
      </c>
      <c r="E35" s="200">
        <f>+D47</f>
        <v>370.73825503355704</v>
      </c>
      <c r="F35" s="201">
        <f>+E47</f>
        <v>353.82550335570471</v>
      </c>
      <c r="G35" s="202"/>
      <c r="H35" s="200">
        <f>F47</f>
        <v>367.11409395973152</v>
      </c>
      <c r="I35" s="201">
        <f>H47</f>
        <v>372.48322147651004</v>
      </c>
      <c r="J35" s="200">
        <f>I47</f>
        <v>348.5906040268456</v>
      </c>
      <c r="K35" s="201">
        <f>J47</f>
        <v>359.32885906040264</v>
      </c>
      <c r="L35" s="202"/>
      <c r="M35" s="200">
        <f>K47</f>
        <v>376.6442953020134</v>
      </c>
      <c r="N35" s="201">
        <f>+M47</f>
        <v>390.20134228187914</v>
      </c>
      <c r="O35" s="200">
        <f>+N47</f>
        <v>385.50335570469792</v>
      </c>
      <c r="P35" s="201">
        <f>+O47</f>
        <v>401.2080536912751</v>
      </c>
      <c r="Q35" s="202"/>
      <c r="R35" s="200">
        <f>+P47</f>
        <v>440.67114093959725</v>
      </c>
      <c r="S35" s="201">
        <f>+R47</f>
        <v>453.15436241610735</v>
      </c>
      <c r="T35" s="200">
        <f>+S47</f>
        <v>455.97315436241604</v>
      </c>
      <c r="U35" s="201">
        <f>+T47</f>
        <v>489.12751677852344</v>
      </c>
      <c r="V35" s="202"/>
      <c r="W35" s="200">
        <f>+U47</f>
        <v>465.06040268456371</v>
      </c>
      <c r="X35" s="201">
        <f>+W47</f>
        <v>467.47651006711402</v>
      </c>
      <c r="Y35" s="200">
        <f>+X47</f>
        <v>475.39597315436237</v>
      </c>
      <c r="Z35" s="201">
        <f>+Y47</f>
        <v>480.3624161073825</v>
      </c>
      <c r="AA35" s="200"/>
      <c r="AB35" s="200">
        <f>+Z47</f>
        <v>501.97315436241604</v>
      </c>
      <c r="AC35" s="201">
        <f>+AB47</f>
        <v>514.32214765100662</v>
      </c>
      <c r="AD35" s="200">
        <f>+AC47</f>
        <v>543.98657718120796</v>
      </c>
      <c r="AE35" s="201">
        <f>+AD47</f>
        <v>536.73825503355692</v>
      </c>
      <c r="AF35" s="200"/>
      <c r="AG35" s="200">
        <f>+AE47</f>
        <v>551.9060402684562</v>
      </c>
      <c r="AH35" s="201">
        <f>+AG47</f>
        <v>536.0671140939595</v>
      </c>
      <c r="AI35" s="200">
        <f>+AH47</f>
        <v>535.3959731543622</v>
      </c>
      <c r="AJ35" s="201">
        <f>+AI47</f>
        <v>537.67785234899316</v>
      </c>
      <c r="AK35" s="200"/>
      <c r="AL35" s="200">
        <f>+AJ47</f>
        <v>545.73154362416096</v>
      </c>
      <c r="AM35" s="201">
        <f>+AL47</f>
        <v>553.24832214765081</v>
      </c>
      <c r="AN35" s="200">
        <f>+AM47</f>
        <v>745.99999999999977</v>
      </c>
      <c r="AO35" s="201">
        <f>+AN47</f>
        <v>759.28859060402669</v>
      </c>
      <c r="AP35" s="200"/>
      <c r="AQ35" s="227">
        <f>+AO47</f>
        <v>770.02684563758373</v>
      </c>
      <c r="AR35" s="201">
        <f>+AQ47</f>
        <v>748.81879194630847</v>
      </c>
      <c r="AS35" s="200">
        <f>+AR47</f>
        <v>752.97986577181177</v>
      </c>
      <c r="AT35" s="201">
        <f>+AS47</f>
        <v>754.05369127516747</v>
      </c>
      <c r="AU35" s="200"/>
      <c r="AV35" s="227">
        <f>+AT47</f>
        <v>761.57046979865731</v>
      </c>
      <c r="AW35" s="201">
        <f>+AV47</f>
        <v>752.44295302013381</v>
      </c>
      <c r="AX35" s="200">
        <f>+AW47</f>
        <v>763.85234899328816</v>
      </c>
      <c r="AY35" s="201">
        <f>+AX47</f>
        <v>794.45637583892574</v>
      </c>
      <c r="AZ35" s="200"/>
      <c r="BA35" s="227">
        <f>+AY47</f>
        <v>801.9731543624157</v>
      </c>
      <c r="BB35" s="201">
        <f>+BA47</f>
        <v>847.87919463087201</v>
      </c>
      <c r="BC35" s="200">
        <f>+BB47</f>
        <v>803.44966442952966</v>
      </c>
      <c r="BD35" s="201">
        <f>+BC47</f>
        <v>799.69127516778474</v>
      </c>
      <c r="BE35" s="200"/>
      <c r="BF35" s="227">
        <f>+BD47</f>
        <v>809.45127516778484</v>
      </c>
      <c r="BG35" s="201">
        <f>+BF47</f>
        <v>802.95227516778493</v>
      </c>
      <c r="BH35" s="200">
        <f>+BG47</f>
        <v>801.65227516778498</v>
      </c>
      <c r="BI35" s="201">
        <f>+BH47</f>
        <v>760.15227516778498</v>
      </c>
      <c r="BJ35" s="200"/>
      <c r="BK35" s="227">
        <f>+BI47</f>
        <v>951.35227516778491</v>
      </c>
      <c r="BL35" s="201">
        <f>+BK47</f>
        <v>971.45227516778493</v>
      </c>
      <c r="BM35" s="200">
        <f>+BL47</f>
        <v>982.15227516778498</v>
      </c>
      <c r="BN35" s="201">
        <f>+BM47</f>
        <v>993.252275167785</v>
      </c>
      <c r="BO35" s="200"/>
      <c r="BP35" s="227">
        <f>+BN47</f>
        <v>816.25227516778523</v>
      </c>
      <c r="BQ35" s="201">
        <f>+BP47</f>
        <v>774.85227516778525</v>
      </c>
      <c r="BR35" s="200">
        <f>+BQ47</f>
        <v>767.15227516778532</v>
      </c>
      <c r="BS35" s="201">
        <f>+BR47</f>
        <v>924.45227516778527</v>
      </c>
      <c r="BT35" s="200"/>
      <c r="BU35" s="227">
        <f>+BS47</f>
        <v>895.55227516778518</v>
      </c>
      <c r="BV35" s="201">
        <f>+BU47</f>
        <v>868.15227516778521</v>
      </c>
      <c r="BW35" s="200">
        <f>+BV47</f>
        <v>844.05227516778518</v>
      </c>
      <c r="BX35" s="201">
        <f>+BW47</f>
        <v>806.25227516778511</v>
      </c>
      <c r="BZ35" s="227">
        <f>+BX47</f>
        <v>803.75227516778511</v>
      </c>
      <c r="CA35" s="201">
        <f>+BZ47</f>
        <v>723.85227516778514</v>
      </c>
      <c r="CB35" s="200">
        <f>+CA47</f>
        <v>862.15227516778521</v>
      </c>
      <c r="CC35" s="201">
        <f>+CB47</f>
        <v>853.25227516778511</v>
      </c>
      <c r="CE35" s="227">
        <f>+CC47</f>
        <v>1076.3522751677851</v>
      </c>
      <c r="CF35" s="201">
        <f>+CE47</f>
        <v>1109.1522751677851</v>
      </c>
      <c r="CG35" s="200">
        <f>+CF47</f>
        <v>1161.952275167785</v>
      </c>
      <c r="CH35" s="201">
        <f>+CG47</f>
        <v>1129.2522751677852</v>
      </c>
    </row>
    <row r="36" spans="1:86 16384:16384" s="98" customFormat="1" x14ac:dyDescent="0.2">
      <c r="A36" s="98" t="s">
        <v>25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>
        <v>0</v>
      </c>
      <c r="CE36" s="228">
        <v>0</v>
      </c>
      <c r="CF36" s="204">
        <v>0</v>
      </c>
      <c r="CG36" s="203">
        <v>0</v>
      </c>
      <c r="CH36" s="204">
        <v>0</v>
      </c>
    </row>
    <row r="37" spans="1:86 16384:16384" x14ac:dyDescent="0.2">
      <c r="A37" s="15" t="s">
        <v>102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>
        <f>SUM(CC35:CC36)</f>
        <v>853.25227516778511</v>
      </c>
      <c r="CE37" s="227">
        <f>SUM(CE35:CE36)</f>
        <v>1076.3522751677851</v>
      </c>
      <c r="CF37" s="201">
        <f>SUM(CF35:CF36)</f>
        <v>1109.1522751677851</v>
      </c>
      <c r="CG37" s="227">
        <f>SUM(CG35:CG36)</f>
        <v>1161.952275167785</v>
      </c>
      <c r="CH37" s="201">
        <f>SUM(CH35:CH36)</f>
        <v>1129.2522751677852</v>
      </c>
    </row>
    <row r="38" spans="1:86 16384:16384" x14ac:dyDescent="0.2">
      <c r="A38" s="15" t="s">
        <v>65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>
        <v>-30.9</v>
      </c>
      <c r="CE38" s="227">
        <f>+' Financial Highlights'!CU19</f>
        <v>1.7000000000000013</v>
      </c>
      <c r="CF38" s="201">
        <f>+' Financial Highlights'!CV19</f>
        <v>11.1</v>
      </c>
      <c r="CG38" s="227">
        <f>+' Financial Highlights'!CW21</f>
        <v>0.20000000000000751</v>
      </c>
      <c r="CH38" s="201">
        <v>-8.9</v>
      </c>
    </row>
    <row r="39" spans="1:86 16384:16384" x14ac:dyDescent="0.2">
      <c r="A39" s="15" t="s">
        <v>80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>
        <v>-1.4</v>
      </c>
      <c r="CE39" s="227">
        <v>0</v>
      </c>
      <c r="CF39" s="201">
        <v>0</v>
      </c>
      <c r="CG39" s="229">
        <v>0</v>
      </c>
      <c r="CH39" s="201">
        <v>2.2999999999999998</v>
      </c>
    </row>
    <row r="40" spans="1:86 16384:16384" x14ac:dyDescent="0.2">
      <c r="A40" s="15" t="s">
        <v>66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>
        <v>86</v>
      </c>
      <c r="CE40" s="227">
        <f>31+0.1</f>
        <v>31.1</v>
      </c>
      <c r="CF40" s="201">
        <f>41.4+0.3</f>
        <v>41.699999999999996</v>
      </c>
      <c r="CG40" s="229">
        <v>-24.8</v>
      </c>
      <c r="CH40" s="201">
        <v>37.200000000000003</v>
      </c>
    </row>
    <row r="41" spans="1:86 16384:16384" x14ac:dyDescent="0.2">
      <c r="A41" s="15" t="s">
        <v>137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  <c r="CE41" s="227"/>
      <c r="CF41" s="201"/>
      <c r="CG41" s="229"/>
      <c r="CH41" s="201"/>
    </row>
    <row r="42" spans="1:86 16384:16384" x14ac:dyDescent="0.2">
      <c r="A42" s="15" t="s">
        <v>176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>
        <f>150-1.7</f>
        <v>148.30000000000001</v>
      </c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  <c r="CE42" s="227"/>
      <c r="CF42" s="201"/>
      <c r="CG42" s="229"/>
      <c r="CH42" s="201"/>
    </row>
    <row r="43" spans="1:86 16384:16384" x14ac:dyDescent="0.2">
      <c r="A43" s="15" t="s">
        <v>178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/>
      <c r="BS43" s="201"/>
      <c r="BT43" s="200"/>
      <c r="BU43" s="227"/>
      <c r="BV43" s="201"/>
      <c r="BW43" s="229">
        <v>-8.1</v>
      </c>
      <c r="BX43" s="201"/>
      <c r="BZ43" s="227"/>
      <c r="CA43" s="201"/>
      <c r="CB43" s="229">
        <v>-8.1</v>
      </c>
      <c r="CC43" s="201"/>
      <c r="CE43" s="227"/>
      <c r="CF43" s="201"/>
      <c r="CG43" s="229">
        <v>-8.1</v>
      </c>
      <c r="CH43" s="201"/>
    </row>
    <row r="44" spans="1:86 16384:16384" x14ac:dyDescent="0.2">
      <c r="A44" s="15" t="s">
        <v>140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>
        <v>184.8</v>
      </c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/>
      <c r="BX44" s="201"/>
      <c r="BZ44" s="227"/>
      <c r="CA44" s="201">
        <v>89.2</v>
      </c>
      <c r="CB44" s="229"/>
      <c r="CC44" s="201">
        <v>169.4</v>
      </c>
      <c r="CE44" s="227"/>
      <c r="CF44" s="201"/>
      <c r="CG44" s="229"/>
      <c r="CH44" s="201"/>
    </row>
    <row r="45" spans="1:86 16384:16384" x14ac:dyDescent="0.2">
      <c r="A45" s="15" t="s">
        <v>172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/>
      <c r="BJ45" s="227"/>
      <c r="BK45" s="227"/>
      <c r="BL45" s="201"/>
      <c r="BM45" s="229">
        <v>0</v>
      </c>
      <c r="BN45" s="201">
        <v>-1039.3</v>
      </c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/>
      <c r="CB45" s="229"/>
      <c r="CC45" s="201"/>
      <c r="CE45" s="227"/>
      <c r="CF45" s="201"/>
      <c r="CG45" s="229"/>
      <c r="CH45" s="201"/>
    </row>
    <row r="46" spans="1:86 16384:16384" s="98" customFormat="1" x14ac:dyDescent="0.2">
      <c r="A46" s="98" t="s">
        <v>79</v>
      </c>
      <c r="B46" s="99"/>
      <c r="C46" s="203">
        <v>0</v>
      </c>
      <c r="D46" s="204">
        <v>-26.308724832214764</v>
      </c>
      <c r="E46" s="203">
        <v>0</v>
      </c>
      <c r="F46" s="204">
        <v>0</v>
      </c>
      <c r="G46" s="205"/>
      <c r="H46" s="203">
        <v>0</v>
      </c>
      <c r="I46" s="204">
        <v>-39.463087248322147</v>
      </c>
      <c r="J46" s="203">
        <v>0</v>
      </c>
      <c r="K46" s="204">
        <v>0</v>
      </c>
      <c r="L46" s="205"/>
      <c r="M46" s="203">
        <v>0</v>
      </c>
      <c r="N46" s="204">
        <v>-31.677852348993287</v>
      </c>
      <c r="O46" s="203">
        <v>0</v>
      </c>
      <c r="P46" s="204">
        <v>0</v>
      </c>
      <c r="Q46" s="205"/>
      <c r="R46" s="203">
        <v>0</v>
      </c>
      <c r="S46" s="204">
        <v>-34.899328859060404</v>
      </c>
      <c r="T46" s="203">
        <v>0</v>
      </c>
      <c r="U46" s="204">
        <v>0</v>
      </c>
      <c r="V46" s="205"/>
      <c r="W46" s="203">
        <v>0</v>
      </c>
      <c r="X46" s="204">
        <v>0</v>
      </c>
      <c r="Y46" s="230">
        <v>0</v>
      </c>
      <c r="Z46" s="204">
        <v>0</v>
      </c>
      <c r="AA46" s="203"/>
      <c r="AB46" s="203">
        <v>-11.140939597315436</v>
      </c>
      <c r="AC46" s="204">
        <v>0</v>
      </c>
      <c r="AD46" s="230">
        <v>0</v>
      </c>
      <c r="AE46" s="204">
        <v>0</v>
      </c>
      <c r="AF46" s="203"/>
      <c r="AG46" s="203">
        <v>-6.3087248322147653</v>
      </c>
      <c r="AH46" s="204">
        <v>0</v>
      </c>
      <c r="AI46" s="230">
        <v>0</v>
      </c>
      <c r="AJ46" s="204">
        <v>0</v>
      </c>
      <c r="AK46" s="203"/>
      <c r="AL46" s="203">
        <v>-6.4429530201342278</v>
      </c>
      <c r="AM46" s="204">
        <v>0</v>
      </c>
      <c r="AN46" s="230">
        <v>0</v>
      </c>
      <c r="AO46" s="204">
        <v>0</v>
      </c>
      <c r="AP46" s="203"/>
      <c r="AQ46" s="228">
        <v>-25.63758389261745</v>
      </c>
      <c r="AR46" s="204">
        <v>0</v>
      </c>
      <c r="AS46" s="230">
        <v>0</v>
      </c>
      <c r="AT46" s="204">
        <v>0</v>
      </c>
      <c r="AU46" s="203"/>
      <c r="AV46" s="228">
        <v>-11.275167785234899</v>
      </c>
      <c r="AW46" s="204">
        <v>0</v>
      </c>
      <c r="AX46" s="230">
        <v>0</v>
      </c>
      <c r="AY46" s="204">
        <v>0</v>
      </c>
      <c r="AZ46" s="203"/>
      <c r="BA46" s="228">
        <v>-13.020134228187919</v>
      </c>
      <c r="BB46" s="204">
        <v>0</v>
      </c>
      <c r="BC46" s="230">
        <v>0</v>
      </c>
      <c r="BD46" s="204">
        <v>0</v>
      </c>
      <c r="BE46" s="203"/>
      <c r="BF46" s="228">
        <v>-13</v>
      </c>
      <c r="BG46" s="204">
        <v>0</v>
      </c>
      <c r="BH46" s="230">
        <v>0</v>
      </c>
      <c r="BI46" s="204">
        <v>0</v>
      </c>
      <c r="BJ46" s="228"/>
      <c r="BK46" s="228">
        <v>0</v>
      </c>
      <c r="BL46" s="204">
        <v>0</v>
      </c>
      <c r="BM46" s="230">
        <v>0</v>
      </c>
      <c r="BN46" s="204"/>
      <c r="BO46" s="203"/>
      <c r="BP46" s="228"/>
      <c r="BQ46" s="204"/>
      <c r="BR46" s="230"/>
      <c r="BS46" s="204"/>
      <c r="BT46" s="203"/>
      <c r="BU46" s="228"/>
      <c r="BV46" s="204"/>
      <c r="BW46" s="230"/>
      <c r="BX46" s="204"/>
      <c r="BZ46" s="228"/>
      <c r="CA46" s="204"/>
      <c r="CB46" s="230"/>
      <c r="CC46" s="204"/>
      <c r="CE46" s="228"/>
      <c r="CF46" s="204"/>
      <c r="CG46" s="230"/>
      <c r="CH46" s="204"/>
    </row>
    <row r="47" spans="1:86 16384:16384" s="182" customFormat="1" x14ac:dyDescent="0.2">
      <c r="A47" s="182" t="s">
        <v>107</v>
      </c>
      <c r="B47" s="181"/>
      <c r="C47" s="231">
        <f>SUM(C37:C46)</f>
        <v>375.83892617449663</v>
      </c>
      <c r="D47" s="232">
        <f>SUM(D37:D46)</f>
        <v>370.73825503355704</v>
      </c>
      <c r="E47" s="231">
        <f>SUM(E37:E46)</f>
        <v>353.82550335570471</v>
      </c>
      <c r="F47" s="232">
        <f>SUM(F37:F46)</f>
        <v>367.11409395973152</v>
      </c>
      <c r="G47" s="233"/>
      <c r="H47" s="231">
        <f>SUM(H37:H46)</f>
        <v>372.48322147651004</v>
      </c>
      <c r="I47" s="232">
        <f>SUM(I37:I46)</f>
        <v>348.5906040268456</v>
      </c>
      <c r="J47" s="231">
        <f>SUM(J37:J46)</f>
        <v>359.32885906040264</v>
      </c>
      <c r="K47" s="232">
        <f>SUM(K37:K46)</f>
        <v>376.6442953020134</v>
      </c>
      <c r="L47" s="233"/>
      <c r="M47" s="231">
        <f>SUM(M37:M46)</f>
        <v>390.20134228187914</v>
      </c>
      <c r="N47" s="232">
        <f>SUM(N37:N46)</f>
        <v>385.50335570469792</v>
      </c>
      <c r="O47" s="231">
        <f>SUM(O37:O46)</f>
        <v>401.2080536912751</v>
      </c>
      <c r="P47" s="232">
        <f>SUM(P37:P46)</f>
        <v>440.67114093959725</v>
      </c>
      <c r="Q47" s="233"/>
      <c r="R47" s="231">
        <f>SUM(R37:R46)</f>
        <v>453.15436241610735</v>
      </c>
      <c r="S47" s="232">
        <f>SUM(S37:S46)</f>
        <v>455.97315436241604</v>
      </c>
      <c r="T47" s="231">
        <f>SUM(T37:T46)</f>
        <v>489.12751677852344</v>
      </c>
      <c r="U47" s="232">
        <f>SUM(U37:U46)</f>
        <v>465.06040268456371</v>
      </c>
      <c r="V47" s="233"/>
      <c r="W47" s="231">
        <f>SUM(W37:W46)</f>
        <v>467.47651006711402</v>
      </c>
      <c r="X47" s="232">
        <f>SUM(X37:X46)</f>
        <v>475.39597315436237</v>
      </c>
      <c r="Y47" s="231">
        <f>SUM(Y37:Y46)</f>
        <v>480.3624161073825</v>
      </c>
      <c r="Z47" s="232">
        <f>SUM(Z37:Z46)</f>
        <v>501.97315436241604</v>
      </c>
      <c r="AA47" s="231"/>
      <c r="AB47" s="231">
        <f>SUM(AB37:AB46)</f>
        <v>514.32214765100662</v>
      </c>
      <c r="AC47" s="232">
        <f>SUM(AC37:AC46)</f>
        <v>543.98657718120796</v>
      </c>
      <c r="AD47" s="231">
        <f>SUM(AD37:AD46)</f>
        <v>536.73825503355692</v>
      </c>
      <c r="AE47" s="232">
        <f>SUM(AE37:AE46)</f>
        <v>551.9060402684562</v>
      </c>
      <c r="AF47" s="231"/>
      <c r="AG47" s="231">
        <f>SUM(AG37:AG46)</f>
        <v>536.0671140939595</v>
      </c>
      <c r="AH47" s="232">
        <f>SUM(AH37:AH46)</f>
        <v>535.3959731543622</v>
      </c>
      <c r="AI47" s="231">
        <f>SUM(AI37:AI46)</f>
        <v>537.67785234899316</v>
      </c>
      <c r="AJ47" s="232">
        <f>SUM(AJ37:AJ46)</f>
        <v>545.73154362416096</v>
      </c>
      <c r="AK47" s="231"/>
      <c r="AL47" s="231">
        <f>SUM(AL37:AL46)</f>
        <v>553.24832214765081</v>
      </c>
      <c r="AM47" s="231">
        <f>SUM(AM37:AM46)</f>
        <v>745.99999999999977</v>
      </c>
      <c r="AN47" s="234">
        <f>SUM(AN37:AN46)</f>
        <v>759.28859060402669</v>
      </c>
      <c r="AO47" s="232">
        <f>SUM(AO37:AO46)</f>
        <v>770.02684563758373</v>
      </c>
      <c r="AP47" s="231"/>
      <c r="AQ47" s="234">
        <f>SUM(AQ37:AQ46)</f>
        <v>748.81879194630847</v>
      </c>
      <c r="AR47" s="232">
        <f>SUM(AR37:AR46)</f>
        <v>752.97986577181177</v>
      </c>
      <c r="AS47" s="234">
        <f>SUM(AS37:AS46)</f>
        <v>754.05369127516747</v>
      </c>
      <c r="AT47" s="232">
        <f>SUM(AT37:AT46)</f>
        <v>761.57046979865731</v>
      </c>
      <c r="AU47" s="231"/>
      <c r="AV47" s="234">
        <f>SUM(AV37:AV46)</f>
        <v>752.44295302013381</v>
      </c>
      <c r="AW47" s="232">
        <f>SUM(AW37:AW46)</f>
        <v>763.85234899328816</v>
      </c>
      <c r="AX47" s="234">
        <f>SUM(AX37:AX46)</f>
        <v>794.45637583892574</v>
      </c>
      <c r="AY47" s="232">
        <f>SUM(AY37:AY46)</f>
        <v>801.9731543624157</v>
      </c>
      <c r="AZ47" s="231"/>
      <c r="BA47" s="234">
        <f>SUM(BA37:BA46)</f>
        <v>847.87919463087201</v>
      </c>
      <c r="BB47" s="232">
        <f>SUM(BB37:BB46)</f>
        <v>803.44966442952966</v>
      </c>
      <c r="BC47" s="234">
        <f>SUM(BC37:BC46)</f>
        <v>799.69127516778474</v>
      </c>
      <c r="BD47" s="232">
        <f>SUM(BD37:BD46)</f>
        <v>809.45127516778484</v>
      </c>
      <c r="BE47" s="231"/>
      <c r="BF47" s="234">
        <f>SUM(BF37:BF46)</f>
        <v>802.95227516778493</v>
      </c>
      <c r="BG47" s="232">
        <f>SUM(BG37:BG46)</f>
        <v>801.65227516778498</v>
      </c>
      <c r="BH47" s="234">
        <f>SUM(BH37:BH46)</f>
        <v>760.15227516778498</v>
      </c>
      <c r="BI47" s="232">
        <f>SUM(BI37:BI46)</f>
        <v>951.35227516778491</v>
      </c>
      <c r="BJ47" s="231"/>
      <c r="BK47" s="234">
        <f>SUM(BK37:BK46)</f>
        <v>971.45227516778493</v>
      </c>
      <c r="BL47" s="232">
        <f>SUM(BL37:BL46)</f>
        <v>982.15227516778498</v>
      </c>
      <c r="BM47" s="234">
        <f>SUM(BM37:BM46)</f>
        <v>993.252275167785</v>
      </c>
      <c r="BN47" s="232">
        <f>SUM(BN37:BN46)</f>
        <v>816.25227516778523</v>
      </c>
      <c r="BO47" s="231"/>
      <c r="BP47" s="234">
        <f>SUM(BP37:BP46)</f>
        <v>774.85227516778525</v>
      </c>
      <c r="BQ47" s="232">
        <f>SUM(BQ37:BQ46)</f>
        <v>767.15227516778532</v>
      </c>
      <c r="BR47" s="234">
        <f>SUM(BR37:BR46)</f>
        <v>924.45227516778527</v>
      </c>
      <c r="BS47" s="232">
        <f>SUM(BS37:BS46)</f>
        <v>895.55227516778518</v>
      </c>
      <c r="BT47" s="231"/>
      <c r="BU47" s="234">
        <f>SUM(BU37:BU46)</f>
        <v>868.15227516778521</v>
      </c>
      <c r="BV47" s="232">
        <f>SUM(BV37:BV46)</f>
        <v>844.05227516778518</v>
      </c>
      <c r="BW47" s="234">
        <f>SUM(BW37:BW46)</f>
        <v>806.25227516778511</v>
      </c>
      <c r="BX47" s="232">
        <f>SUM(BX37:BX46)</f>
        <v>803.75227516778511</v>
      </c>
      <c r="BZ47" s="234">
        <f>SUM(BZ37:BZ46)</f>
        <v>723.85227516778514</v>
      </c>
      <c r="CA47" s="232">
        <f>SUM(CA37:CA46)</f>
        <v>862.15227516778521</v>
      </c>
      <c r="CB47" s="234">
        <f>SUM(CB37:CB46)</f>
        <v>853.25227516778511</v>
      </c>
      <c r="CC47" s="232">
        <f>SUM(CC37:CC46)</f>
        <v>1076.3522751677851</v>
      </c>
      <c r="CE47" s="234">
        <f>SUM(CE37:CE46)</f>
        <v>1109.1522751677851</v>
      </c>
      <c r="CF47" s="232">
        <f>SUM(CF37:CF46)</f>
        <v>1161.952275167785</v>
      </c>
      <c r="CG47" s="234">
        <f>SUM(CG37:CG46)</f>
        <v>1129.2522751677852</v>
      </c>
      <c r="CH47" s="232">
        <f>SUM(CH37:CH46)</f>
        <v>1159.8522751677851</v>
      </c>
      <c r="XFD47" s="189"/>
    </row>
    <row r="48" spans="1:86 16384:16384" x14ac:dyDescent="0.2">
      <c r="AQ48" s="16"/>
      <c r="AR48" s="16"/>
      <c r="AV48" s="109"/>
      <c r="AW48" s="16"/>
      <c r="BA48" s="109"/>
      <c r="BB48" s="16"/>
      <c r="BF48" s="109"/>
      <c r="BG48" s="16"/>
      <c r="BK48" s="109"/>
      <c r="BL48" s="16"/>
      <c r="BP48" s="109"/>
      <c r="BQ48" s="16"/>
      <c r="BU48" s="109"/>
      <c r="BV48" s="16"/>
      <c r="BZ48" s="109"/>
      <c r="CA48" s="16"/>
    </row>
  </sheetData>
  <mergeCells count="30"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CE2:CH2"/>
    <mergeCell ref="AB2:AE2"/>
    <mergeCell ref="AG1:AJ1"/>
    <mergeCell ref="AG2:AJ2"/>
    <mergeCell ref="H2:K2"/>
    <mergeCell ref="BP2:BS2"/>
    <mergeCell ref="AQ1:AT1"/>
    <mergeCell ref="AQ2:AT2"/>
    <mergeCell ref="W1:Z1"/>
    <mergeCell ref="R2:U2"/>
    <mergeCell ref="BK1:BO1"/>
    <mergeCell ref="BK2:BN2"/>
    <mergeCell ref="BF1:BI1"/>
    <mergeCell ref="BF2:BI2"/>
    <mergeCell ref="BZ2:CC2"/>
    <mergeCell ref="BU2:BX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Y21"/>
  <sheetViews>
    <sheetView showGridLines="0" zoomScale="90" zoomScaleNormal="90" zoomScaleSheetLayoutView="75" workbookViewId="0">
      <pane xSplit="1" ySplit="4" topLeftCell="CI5" activePane="bottomRight" state="frozen"/>
      <selection activeCell="O4" sqref="O4"/>
      <selection pane="topRight" activeCell="O4" sqref="O4"/>
      <selection pane="bottomLeft" activeCell="O4" sqref="O4"/>
      <selection pane="bottomRight" activeCell="CX21" sqref="CX21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97" width="9.140625" style="15"/>
    <col min="98" max="98" width="4.28515625" style="15" customWidth="1"/>
    <col min="99" max="16384" width="9.140625" style="15"/>
  </cols>
  <sheetData>
    <row r="1" spans="1:103" x14ac:dyDescent="0.2">
      <c r="C1" s="288"/>
      <c r="D1" s="288"/>
      <c r="E1" s="288"/>
      <c r="F1" s="288"/>
      <c r="G1" s="288"/>
      <c r="I1" s="288"/>
      <c r="J1" s="288"/>
      <c r="K1" s="288"/>
      <c r="L1" s="288"/>
      <c r="M1" s="288"/>
      <c r="O1" s="288"/>
      <c r="P1" s="288"/>
      <c r="Q1" s="288"/>
      <c r="R1" s="288"/>
      <c r="S1" s="288"/>
      <c r="U1" s="288"/>
      <c r="V1" s="288"/>
      <c r="W1" s="288"/>
      <c r="X1" s="288"/>
      <c r="Y1" s="288"/>
      <c r="AA1" s="288"/>
      <c r="AB1" s="288"/>
      <c r="AC1" s="288"/>
      <c r="AD1" s="288"/>
      <c r="AE1" s="288"/>
      <c r="AG1" s="288"/>
      <c r="AH1" s="288"/>
      <c r="AI1" s="288"/>
      <c r="AJ1" s="288"/>
      <c r="AK1" s="288"/>
      <c r="AM1" s="288"/>
      <c r="AN1" s="288"/>
      <c r="AO1" s="288"/>
      <c r="AP1" s="288"/>
      <c r="AQ1" s="288"/>
      <c r="AS1" s="288"/>
      <c r="AT1" s="288"/>
      <c r="AU1" s="288"/>
      <c r="AV1" s="288"/>
      <c r="AW1" s="288"/>
      <c r="AY1" s="288"/>
      <c r="AZ1" s="288"/>
      <c r="BA1" s="288"/>
      <c r="BB1" s="288"/>
      <c r="BC1" s="288"/>
      <c r="BE1" s="288"/>
      <c r="BF1" s="288"/>
      <c r="BG1" s="288"/>
      <c r="BH1" s="288"/>
      <c r="BI1" s="288"/>
      <c r="BK1" s="288"/>
      <c r="BL1" s="288"/>
      <c r="BM1" s="288"/>
      <c r="BN1" s="288"/>
      <c r="BO1" s="288"/>
      <c r="BQ1" s="288"/>
      <c r="BR1" s="288"/>
      <c r="BS1" s="288"/>
      <c r="BT1" s="288"/>
      <c r="BU1" s="288"/>
      <c r="BW1" s="288"/>
      <c r="BX1" s="288"/>
      <c r="BY1" s="288"/>
      <c r="BZ1" s="288"/>
      <c r="CA1" s="288"/>
      <c r="CC1" s="288"/>
      <c r="CD1" s="288"/>
      <c r="CE1" s="288"/>
      <c r="CF1" s="288"/>
      <c r="CG1" s="288"/>
      <c r="CI1" s="288"/>
      <c r="CJ1" s="288"/>
      <c r="CK1" s="288"/>
      <c r="CL1" s="288"/>
      <c r="CM1" s="288"/>
    </row>
    <row r="2" spans="1:103" x14ac:dyDescent="0.2">
      <c r="AQ2" s="96"/>
      <c r="AW2" s="96"/>
      <c r="BC2" s="96"/>
      <c r="BI2" s="96"/>
      <c r="BO2" s="96"/>
      <c r="BU2" s="96"/>
      <c r="BW2" s="285"/>
      <c r="BX2" s="285"/>
      <c r="BY2" s="285"/>
      <c r="BZ2" s="285"/>
      <c r="CA2" s="285"/>
      <c r="CC2" s="285"/>
      <c r="CD2" s="285"/>
      <c r="CE2" s="285"/>
      <c r="CF2" s="285"/>
      <c r="CG2" s="285"/>
      <c r="CI2" s="285"/>
      <c r="CJ2" s="285"/>
      <c r="CK2" s="285"/>
      <c r="CL2" s="285"/>
      <c r="CM2" s="285"/>
    </row>
    <row r="3" spans="1:103" s="104" customFormat="1" x14ac:dyDescent="0.2">
      <c r="A3" s="110" t="s">
        <v>152</v>
      </c>
      <c r="C3" s="289" t="s">
        <v>111</v>
      </c>
      <c r="D3" s="290"/>
      <c r="E3" s="290"/>
      <c r="F3" s="290"/>
      <c r="G3" s="290"/>
      <c r="I3" s="289" t="s">
        <v>112</v>
      </c>
      <c r="J3" s="290"/>
      <c r="K3" s="290"/>
      <c r="L3" s="290"/>
      <c r="M3" s="290"/>
      <c r="O3" s="289" t="s">
        <v>113</v>
      </c>
      <c r="P3" s="290"/>
      <c r="Q3" s="290"/>
      <c r="R3" s="290"/>
      <c r="S3" s="290"/>
      <c r="U3" s="289" t="s">
        <v>114</v>
      </c>
      <c r="V3" s="290"/>
      <c r="W3" s="290"/>
      <c r="X3" s="290"/>
      <c r="Y3" s="290"/>
      <c r="AA3" s="289" t="s">
        <v>115</v>
      </c>
      <c r="AB3" s="290"/>
      <c r="AC3" s="290"/>
      <c r="AD3" s="290"/>
      <c r="AE3" s="290"/>
      <c r="AG3" s="289" t="s">
        <v>116</v>
      </c>
      <c r="AH3" s="290"/>
      <c r="AI3" s="290"/>
      <c r="AJ3" s="290"/>
      <c r="AK3" s="290"/>
      <c r="AM3" s="289" t="s">
        <v>121</v>
      </c>
      <c r="AN3" s="290"/>
      <c r="AO3" s="290"/>
      <c r="AP3" s="290"/>
      <c r="AQ3" s="290"/>
      <c r="AS3" s="289" t="s">
        <v>120</v>
      </c>
      <c r="AT3" s="290"/>
      <c r="AU3" s="290"/>
      <c r="AV3" s="290"/>
      <c r="AW3" s="290"/>
      <c r="AY3" s="289" t="s">
        <v>119</v>
      </c>
      <c r="AZ3" s="290"/>
      <c r="BA3" s="290"/>
      <c r="BB3" s="290"/>
      <c r="BC3" s="290"/>
      <c r="BE3" s="289" t="s">
        <v>118</v>
      </c>
      <c r="BF3" s="290"/>
      <c r="BG3" s="290"/>
      <c r="BH3" s="290"/>
      <c r="BI3" s="290"/>
      <c r="BK3" s="289" t="s">
        <v>117</v>
      </c>
      <c r="BL3" s="290"/>
      <c r="BM3" s="290"/>
      <c r="BN3" s="290"/>
      <c r="BO3" s="290"/>
      <c r="BQ3" s="289" t="s">
        <v>131</v>
      </c>
      <c r="BR3" s="290"/>
      <c r="BS3" s="290"/>
      <c r="BT3" s="290"/>
      <c r="BU3" s="290"/>
      <c r="BW3" s="289" t="s">
        <v>159</v>
      </c>
      <c r="BX3" s="290"/>
      <c r="BY3" s="290"/>
      <c r="BZ3" s="290"/>
      <c r="CA3" s="290"/>
      <c r="CC3" s="289" t="s">
        <v>173</v>
      </c>
      <c r="CD3" s="290"/>
      <c r="CE3" s="290"/>
      <c r="CF3" s="290"/>
      <c r="CG3" s="290"/>
      <c r="CI3" s="289" t="s">
        <v>177</v>
      </c>
      <c r="CJ3" s="290"/>
      <c r="CK3" s="290"/>
      <c r="CL3" s="290"/>
      <c r="CM3" s="290"/>
      <c r="CO3" s="289" t="s">
        <v>179</v>
      </c>
      <c r="CP3" s="290"/>
      <c r="CQ3" s="290"/>
      <c r="CR3" s="290"/>
      <c r="CS3" s="290"/>
      <c r="CU3" s="289" t="s">
        <v>200</v>
      </c>
      <c r="CV3" s="290"/>
      <c r="CW3" s="290"/>
      <c r="CX3" s="290"/>
      <c r="CY3" s="290"/>
    </row>
    <row r="4" spans="1:103" s="184" customFormat="1" x14ac:dyDescent="0.2">
      <c r="A4" s="183" t="s">
        <v>170</v>
      </c>
      <c r="C4" s="185" t="s">
        <v>9</v>
      </c>
      <c r="D4" s="185" t="s">
        <v>10</v>
      </c>
      <c r="E4" s="185" t="s">
        <v>11</v>
      </c>
      <c r="F4" s="185" t="s">
        <v>12</v>
      </c>
      <c r="G4" s="185" t="s">
        <v>13</v>
      </c>
      <c r="I4" s="185" t="s">
        <v>9</v>
      </c>
      <c r="J4" s="185" t="s">
        <v>10</v>
      </c>
      <c r="K4" s="185" t="s">
        <v>11</v>
      </c>
      <c r="L4" s="185" t="s">
        <v>12</v>
      </c>
      <c r="M4" s="185" t="s">
        <v>13</v>
      </c>
      <c r="O4" s="185" t="s">
        <v>9</v>
      </c>
      <c r="P4" s="185" t="s">
        <v>10</v>
      </c>
      <c r="Q4" s="185" t="s">
        <v>11</v>
      </c>
      <c r="R4" s="185" t="s">
        <v>12</v>
      </c>
      <c r="S4" s="185" t="s">
        <v>13</v>
      </c>
      <c r="U4" s="185" t="s">
        <v>9</v>
      </c>
      <c r="V4" s="185" t="s">
        <v>10</v>
      </c>
      <c r="W4" s="185" t="s">
        <v>11</v>
      </c>
      <c r="X4" s="185" t="s">
        <v>12</v>
      </c>
      <c r="Y4" s="185" t="s">
        <v>13</v>
      </c>
      <c r="AA4" s="185" t="s">
        <v>9</v>
      </c>
      <c r="AB4" s="185" t="s">
        <v>10</v>
      </c>
      <c r="AC4" s="185" t="s">
        <v>11</v>
      </c>
      <c r="AD4" s="185" t="s">
        <v>12</v>
      </c>
      <c r="AE4" s="185" t="s">
        <v>13</v>
      </c>
      <c r="AG4" s="185" t="s">
        <v>9</v>
      </c>
      <c r="AH4" s="185" t="s">
        <v>10</v>
      </c>
      <c r="AI4" s="185" t="s">
        <v>11</v>
      </c>
      <c r="AJ4" s="185" t="s">
        <v>12</v>
      </c>
      <c r="AK4" s="185" t="s">
        <v>13</v>
      </c>
      <c r="AM4" s="185" t="s">
        <v>9</v>
      </c>
      <c r="AN4" s="185" t="s">
        <v>10</v>
      </c>
      <c r="AO4" s="185" t="s">
        <v>11</v>
      </c>
      <c r="AP4" s="185" t="s">
        <v>12</v>
      </c>
      <c r="AQ4" s="185" t="s">
        <v>13</v>
      </c>
      <c r="AS4" s="185" t="s">
        <v>9</v>
      </c>
      <c r="AT4" s="185" t="s">
        <v>10</v>
      </c>
      <c r="AU4" s="185" t="s">
        <v>11</v>
      </c>
      <c r="AV4" s="185" t="s">
        <v>12</v>
      </c>
      <c r="AW4" s="185" t="s">
        <v>13</v>
      </c>
      <c r="AY4" s="185" t="s">
        <v>9</v>
      </c>
      <c r="AZ4" s="185" t="s">
        <v>10</v>
      </c>
      <c r="BA4" s="185" t="s">
        <v>11</v>
      </c>
      <c r="BB4" s="185" t="s">
        <v>12</v>
      </c>
      <c r="BC4" s="185" t="s">
        <v>13</v>
      </c>
      <c r="BE4" s="185" t="s">
        <v>9</v>
      </c>
      <c r="BF4" s="185" t="s">
        <v>10</v>
      </c>
      <c r="BG4" s="185" t="s">
        <v>11</v>
      </c>
      <c r="BH4" s="185" t="s">
        <v>12</v>
      </c>
      <c r="BI4" s="185" t="s">
        <v>13</v>
      </c>
      <c r="BK4" s="186" t="s">
        <v>9</v>
      </c>
      <c r="BL4" s="186" t="s">
        <v>10</v>
      </c>
      <c r="BM4" s="186" t="s">
        <v>11</v>
      </c>
      <c r="BN4" s="186" t="s">
        <v>12</v>
      </c>
      <c r="BO4" s="186" t="s">
        <v>13</v>
      </c>
      <c r="BP4" s="183"/>
      <c r="BQ4" s="186" t="s">
        <v>9</v>
      </c>
      <c r="BR4" s="186" t="s">
        <v>10</v>
      </c>
      <c r="BS4" s="186" t="s">
        <v>11</v>
      </c>
      <c r="BT4" s="186" t="s">
        <v>12</v>
      </c>
      <c r="BU4" s="186" t="s">
        <v>13</v>
      </c>
      <c r="BV4" s="183"/>
      <c r="BW4" s="186" t="s">
        <v>9</v>
      </c>
      <c r="BX4" s="186" t="s">
        <v>10</v>
      </c>
      <c r="BY4" s="186" t="s">
        <v>11</v>
      </c>
      <c r="BZ4" s="186" t="s">
        <v>12</v>
      </c>
      <c r="CA4" s="186" t="s">
        <v>13</v>
      </c>
      <c r="CC4" s="186" t="s">
        <v>9</v>
      </c>
      <c r="CD4" s="186" t="s">
        <v>10</v>
      </c>
      <c r="CE4" s="186" t="s">
        <v>11</v>
      </c>
      <c r="CF4" s="186" t="s">
        <v>12</v>
      </c>
      <c r="CG4" s="186" t="s">
        <v>13</v>
      </c>
      <c r="CI4" s="186" t="s">
        <v>9</v>
      </c>
      <c r="CJ4" s="186" t="s">
        <v>10</v>
      </c>
      <c r="CK4" s="186" t="s">
        <v>11</v>
      </c>
      <c r="CL4" s="186" t="s">
        <v>12</v>
      </c>
      <c r="CM4" s="186" t="s">
        <v>13</v>
      </c>
      <c r="CO4" s="186" t="s">
        <v>9</v>
      </c>
      <c r="CP4" s="186" t="s">
        <v>10</v>
      </c>
      <c r="CQ4" s="186" t="s">
        <v>11</v>
      </c>
      <c r="CR4" s="186" t="s">
        <v>12</v>
      </c>
      <c r="CS4" s="186" t="s">
        <v>13</v>
      </c>
      <c r="CU4" s="186" t="s">
        <v>9</v>
      </c>
      <c r="CV4" s="186" t="s">
        <v>10</v>
      </c>
      <c r="CW4" s="186" t="s">
        <v>11</v>
      </c>
      <c r="CX4" s="186" t="s">
        <v>12</v>
      </c>
      <c r="CY4" s="186" t="s">
        <v>13</v>
      </c>
    </row>
    <row r="5" spans="1:103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  <c r="CY5" s="121"/>
    </row>
    <row r="6" spans="1:103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R6" s="15">
        <v>13.5</v>
      </c>
      <c r="CS6" s="39">
        <f>SUM(CO6:CR6)</f>
        <v>49.4</v>
      </c>
      <c r="CU6" s="15">
        <v>30.8</v>
      </c>
      <c r="CV6" s="15">
        <v>42.4</v>
      </c>
      <c r="CW6" s="15">
        <v>33.5</v>
      </c>
      <c r="CX6" s="15">
        <v>19.2</v>
      </c>
      <c r="CY6" s="39">
        <f>SUM(CU6:CX6)</f>
        <v>125.9</v>
      </c>
    </row>
    <row r="7" spans="1:103" x14ac:dyDescent="0.2">
      <c r="A7" s="15" t="s">
        <v>67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R7" s="15">
        <v>-2.8</v>
      </c>
      <c r="CS7" s="39">
        <f>SUM(CO7:CR7)</f>
        <v>-17</v>
      </c>
      <c r="CU7" s="15">
        <v>-3.5</v>
      </c>
      <c r="CV7" s="15">
        <v>-3.5</v>
      </c>
      <c r="CW7" s="15">
        <v>-4.4000000000000004</v>
      </c>
      <c r="CX7" s="15">
        <v>-0.8</v>
      </c>
      <c r="CY7" s="39">
        <f>SUM(CU7:CX7)</f>
        <v>-12.200000000000001</v>
      </c>
    </row>
    <row r="8" spans="1:103" x14ac:dyDescent="0.2">
      <c r="A8" s="15" t="s">
        <v>68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  <c r="CY8" s="39"/>
    </row>
    <row r="9" spans="1:103" ht="12.75" customHeight="1" x14ac:dyDescent="0.2">
      <c r="A9" s="15" t="s">
        <v>69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  <c r="CY9" s="39"/>
    </row>
    <row r="10" spans="1:103" s="96" customFormat="1" ht="12.75" customHeight="1" x14ac:dyDescent="0.2">
      <c r="A10" s="15" t="s">
        <v>123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>
        <v>100.2</v>
      </c>
      <c r="CS10" s="39">
        <f>SUM(CO10:CR10)</f>
        <v>103.90000000000002</v>
      </c>
      <c r="CU10" s="111">
        <f>1.9-50.9-0.6</f>
        <v>-49.6</v>
      </c>
      <c r="CV10" s="111">
        <f>1.7-142.5+2.3</f>
        <v>-138.5</v>
      </c>
      <c r="CW10" s="111">
        <f>37.2+79.1+0.4</f>
        <v>116.7</v>
      </c>
      <c r="CX10" s="111">
        <v>165.5</v>
      </c>
      <c r="CY10" s="39">
        <f>SUM(CU10:CX10)</f>
        <v>94.100000000000009</v>
      </c>
    </row>
    <row r="11" spans="1:103" s="115" customFormat="1" ht="15.75" customHeight="1" x14ac:dyDescent="0.2">
      <c r="A11" s="112" t="s">
        <v>55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>
        <f>SUM(CR6:CR10)</f>
        <v>110.9</v>
      </c>
      <c r="CS11" s="113">
        <f>SUM(CS6:CS10)</f>
        <v>136.30000000000001</v>
      </c>
      <c r="CU11" s="112">
        <f>SUM(CU6:CU10)</f>
        <v>-22.3</v>
      </c>
      <c r="CV11" s="112">
        <f t="shared" ref="CV11:CX11" si="0">SUM(CV6:CV10)</f>
        <v>-99.6</v>
      </c>
      <c r="CW11" s="112">
        <f t="shared" si="0"/>
        <v>145.80000000000001</v>
      </c>
      <c r="CX11" s="112">
        <f t="shared" si="0"/>
        <v>183.9</v>
      </c>
      <c r="CY11" s="113">
        <f>SUM(CY6:CY10)</f>
        <v>207.8</v>
      </c>
    </row>
    <row r="12" spans="1:103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  <c r="CY12" s="117"/>
    </row>
    <row r="13" spans="1:103" x14ac:dyDescent="0.2">
      <c r="A13" s="15" t="s">
        <v>96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1">SUM(BW13:BZ13)</f>
        <v>-767.7</v>
      </c>
      <c r="CD13" s="16"/>
      <c r="CE13" s="16"/>
      <c r="CF13" s="17"/>
      <c r="CG13" s="39">
        <f t="shared" ref="CG13:CG18" si="2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3">SUM(CI13:CL13)</f>
        <v>2.2000000000000002</v>
      </c>
      <c r="CP13" s="16"/>
      <c r="CQ13" s="16"/>
      <c r="CR13" s="17"/>
      <c r="CS13" s="39">
        <f t="shared" ref="CS13:CS18" si="4">SUM(CO13:CR13)</f>
        <v>0</v>
      </c>
      <c r="CU13" s="15">
        <v>2.1</v>
      </c>
      <c r="CV13" s="15">
        <v>0</v>
      </c>
      <c r="CW13" s="15">
        <v>0</v>
      </c>
      <c r="CX13" s="15">
        <v>0</v>
      </c>
      <c r="CY13" s="39">
        <f t="shared" ref="CY13:CY18" si="5">SUM(CU13:CX13)</f>
        <v>2.1</v>
      </c>
    </row>
    <row r="14" spans="1:103" x14ac:dyDescent="0.2">
      <c r="A14" s="15" t="s">
        <v>171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1"/>
        <v>379.8</v>
      </c>
      <c r="CD14" s="16"/>
      <c r="CE14" s="16"/>
      <c r="CF14" s="17"/>
      <c r="CG14" s="39">
        <f t="shared" si="2"/>
        <v>0</v>
      </c>
      <c r="CJ14" s="16"/>
      <c r="CK14" s="16"/>
      <c r="CL14" s="17"/>
      <c r="CM14" s="39">
        <f t="shared" si="3"/>
        <v>0</v>
      </c>
      <c r="CP14" s="16"/>
      <c r="CQ14" s="16"/>
      <c r="CR14" s="17"/>
      <c r="CS14" s="39">
        <f t="shared" si="4"/>
        <v>0</v>
      </c>
      <c r="CY14" s="39">
        <f t="shared" si="5"/>
        <v>0</v>
      </c>
    </row>
    <row r="15" spans="1:103" x14ac:dyDescent="0.2">
      <c r="A15" s="15" t="s">
        <v>70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48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48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48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1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2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3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>
        <v>-41.1</v>
      </c>
      <c r="CS15" s="39">
        <f t="shared" si="4"/>
        <v>-65.099999999999994</v>
      </c>
      <c r="CU15" s="15">
        <v>-22.9</v>
      </c>
      <c r="CV15" s="15">
        <v>-47.7</v>
      </c>
      <c r="CW15" s="15">
        <f>-38.2+0.1</f>
        <v>-38.1</v>
      </c>
      <c r="CX15" s="15">
        <v>-82.4</v>
      </c>
      <c r="CY15" s="39">
        <f t="shared" si="5"/>
        <v>-191.1</v>
      </c>
    </row>
    <row r="16" spans="1:103" ht="15" customHeight="1" x14ac:dyDescent="0.2">
      <c r="A16" s="15" t="s">
        <v>95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1"/>
        <v>0</v>
      </c>
      <c r="CD16" s="16"/>
      <c r="CE16" s="16"/>
      <c r="CF16" s="17"/>
      <c r="CG16" s="39">
        <f t="shared" si="2"/>
        <v>0</v>
      </c>
      <c r="CJ16" s="16"/>
      <c r="CK16" s="16"/>
      <c r="CL16" s="17"/>
      <c r="CM16" s="39">
        <f t="shared" si="3"/>
        <v>0</v>
      </c>
      <c r="CP16" s="16"/>
      <c r="CQ16" s="16"/>
      <c r="CR16" s="17"/>
      <c r="CS16" s="39">
        <f t="shared" si="4"/>
        <v>0</v>
      </c>
      <c r="CY16" s="39">
        <f t="shared" si="5"/>
        <v>0</v>
      </c>
    </row>
    <row r="17" spans="1:103" x14ac:dyDescent="0.2">
      <c r="A17" s="15" t="s">
        <v>49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1"/>
        <v>0</v>
      </c>
      <c r="CD17" s="16"/>
      <c r="CE17" s="16"/>
      <c r="CF17" s="17"/>
      <c r="CG17" s="39">
        <f t="shared" si="2"/>
        <v>0</v>
      </c>
      <c r="CJ17" s="16"/>
      <c r="CK17" s="16"/>
      <c r="CL17" s="17"/>
      <c r="CM17" s="39">
        <f t="shared" si="3"/>
        <v>0</v>
      </c>
      <c r="CP17" s="16"/>
      <c r="CQ17" s="16"/>
      <c r="CR17" s="17"/>
      <c r="CS17" s="39">
        <f t="shared" si="4"/>
        <v>0</v>
      </c>
      <c r="CY17" s="39">
        <f t="shared" si="5"/>
        <v>0</v>
      </c>
    </row>
    <row r="18" spans="1:103" s="96" customFormat="1" ht="12.75" customHeight="1" x14ac:dyDescent="0.2">
      <c r="A18" s="15" t="s">
        <v>88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1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2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3"/>
        <v>-35.799999999999997</v>
      </c>
      <c r="CO18" s="104">
        <v>-8.9</v>
      </c>
      <c r="CP18" s="111">
        <v>-11.9</v>
      </c>
      <c r="CQ18" s="111">
        <v>-8.8000000000000007</v>
      </c>
      <c r="CR18" s="119">
        <v>-12.7</v>
      </c>
      <c r="CS18" s="39">
        <f t="shared" si="4"/>
        <v>-42.3</v>
      </c>
      <c r="CU18" s="104">
        <v>-8.8000000000000007</v>
      </c>
      <c r="CV18" s="104">
        <v>-8</v>
      </c>
      <c r="CW18" s="104">
        <v>-9.1999999999999993</v>
      </c>
      <c r="CX18" s="104">
        <v>-10.5</v>
      </c>
      <c r="CY18" s="39">
        <f t="shared" si="5"/>
        <v>-36.5</v>
      </c>
    </row>
    <row r="19" spans="1:103" s="115" customFormat="1" x14ac:dyDescent="0.2">
      <c r="A19" s="112" t="s">
        <v>124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>
        <f>SUM(CR13:CR18)</f>
        <v>-53.8</v>
      </c>
      <c r="CS19" s="113">
        <f>SUM(CS13:CS18)</f>
        <v>-107.39999999999999</v>
      </c>
      <c r="CU19" s="112">
        <f>SUM(CU13:CU18)</f>
        <v>-29.599999999999998</v>
      </c>
      <c r="CV19" s="112">
        <f t="shared" ref="CV19:CX19" si="6">SUM(CV13:CV18)</f>
        <v>-55.7</v>
      </c>
      <c r="CW19" s="112">
        <f t="shared" si="6"/>
        <v>-47.3</v>
      </c>
      <c r="CX19" s="112">
        <f t="shared" si="6"/>
        <v>-92.9</v>
      </c>
      <c r="CY19" s="113">
        <f>SUM(CY13:CY18)</f>
        <v>-225.5</v>
      </c>
    </row>
    <row r="20" spans="1:103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  <c r="CU20" s="116"/>
      <c r="CV20" s="116"/>
      <c r="CW20" s="116"/>
      <c r="CX20" s="116"/>
      <c r="CY20" s="117"/>
    </row>
    <row r="21" spans="1:103" x14ac:dyDescent="0.2">
      <c r="A21" s="96" t="s">
        <v>180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>
        <f>CR11+CR19</f>
        <v>57.100000000000009</v>
      </c>
      <c r="CS21" s="39">
        <f>CS11+CS19</f>
        <v>28.90000000000002</v>
      </c>
      <c r="CU21" s="96">
        <f>CU11+CU19</f>
        <v>-51.9</v>
      </c>
      <c r="CV21" s="96">
        <f t="shared" ref="CV21:CX21" si="7">CV11+CV19</f>
        <v>-155.30000000000001</v>
      </c>
      <c r="CW21" s="96">
        <f t="shared" si="7"/>
        <v>98.500000000000014</v>
      </c>
      <c r="CX21" s="96">
        <f t="shared" si="7"/>
        <v>91</v>
      </c>
      <c r="CY21" s="39">
        <f>CY11+CY19</f>
        <v>-17.699999999999989</v>
      </c>
    </row>
  </sheetData>
  <mergeCells count="35">
    <mergeCell ref="AS3:AW3"/>
    <mergeCell ref="AY1:BC1"/>
    <mergeCell ref="I1:M1"/>
    <mergeCell ref="CC2:CG2"/>
    <mergeCell ref="CC3:CG3"/>
    <mergeCell ref="BW2:CA2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O1:S1"/>
    <mergeCell ref="O3:S3"/>
    <mergeCell ref="U1:Y1"/>
    <mergeCell ref="U3:Y3"/>
    <mergeCell ref="CU3:CY3"/>
    <mergeCell ref="BQ1:BU1"/>
    <mergeCell ref="BQ3:BU3"/>
    <mergeCell ref="AY3:BC3"/>
    <mergeCell ref="BE3:BI3"/>
    <mergeCell ref="CO3:CS3"/>
    <mergeCell ref="CI1:CM1"/>
    <mergeCell ref="CI2:CM2"/>
    <mergeCell ref="CI3:CM3"/>
    <mergeCell ref="BW3:CA3"/>
    <mergeCell ref="BW1:CA1"/>
    <mergeCell ref="CC1:CG1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8"/>
  <sheetViews>
    <sheetView showGridLines="0" zoomScale="85" zoomScaleNormal="85" workbookViewId="0">
      <pane xSplit="2" ySplit="3" topLeftCell="S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AE4" sqref="AE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7109375" style="2" customWidth="1"/>
    <col min="21" max="25" width="9.140625" style="2"/>
    <col min="26" max="26" width="3.7109375" style="2" customWidth="1"/>
    <col min="27" max="16384" width="9.140625" style="2"/>
  </cols>
  <sheetData>
    <row r="1" spans="1:31" x14ac:dyDescent="0.2">
      <c r="C1" s="285"/>
      <c r="D1" s="285"/>
      <c r="E1" s="285"/>
      <c r="F1" s="285"/>
      <c r="G1" s="285"/>
      <c r="I1" s="285"/>
      <c r="J1" s="285"/>
      <c r="K1" s="285"/>
      <c r="L1" s="285"/>
      <c r="M1" s="285"/>
      <c r="O1" s="285"/>
      <c r="P1" s="285"/>
      <c r="Q1" s="285"/>
      <c r="R1" s="285"/>
      <c r="S1" s="285"/>
    </row>
    <row r="2" spans="1:31" x14ac:dyDescent="0.2">
      <c r="A2" s="1" t="s">
        <v>152</v>
      </c>
      <c r="C2" s="283">
        <v>2017</v>
      </c>
      <c r="D2" s="283"/>
      <c r="E2" s="283"/>
      <c r="F2" s="283"/>
      <c r="G2" s="283"/>
      <c r="I2" s="283">
        <v>2018</v>
      </c>
      <c r="J2" s="283"/>
      <c r="K2" s="283"/>
      <c r="L2" s="283"/>
      <c r="M2" s="283"/>
      <c r="O2" s="283">
        <v>2019</v>
      </c>
      <c r="P2" s="283"/>
      <c r="Q2" s="283"/>
      <c r="R2" s="283"/>
      <c r="S2" s="283"/>
      <c r="U2" s="283">
        <v>2020</v>
      </c>
      <c r="V2" s="283"/>
      <c r="W2" s="283"/>
      <c r="X2" s="283"/>
      <c r="Y2" s="283"/>
      <c r="AA2" s="283">
        <v>2021</v>
      </c>
      <c r="AB2" s="283"/>
      <c r="AC2" s="283"/>
      <c r="AD2" s="283"/>
      <c r="AE2" s="283"/>
    </row>
    <row r="3" spans="1:31" s="170" customFormat="1" x14ac:dyDescent="0.2">
      <c r="A3" s="169" t="s">
        <v>108</v>
      </c>
      <c r="B3" s="171"/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</row>
    <row r="4" spans="1:31" s="162" customFormat="1" x14ac:dyDescent="0.2">
      <c r="G4" s="174"/>
      <c r="M4" s="174"/>
      <c r="S4" s="174"/>
      <c r="Y4" s="174"/>
      <c r="AE4" s="174"/>
    </row>
    <row r="5" spans="1:31" x14ac:dyDescent="0.2">
      <c r="A5" s="5" t="s">
        <v>181</v>
      </c>
      <c r="G5" s="36"/>
      <c r="M5" s="36"/>
      <c r="S5" s="36"/>
      <c r="Y5" s="36"/>
      <c r="AE5" s="36"/>
    </row>
    <row r="6" spans="1:31" ht="12.75" customHeight="1" x14ac:dyDescent="0.2">
      <c r="A6" s="2" t="s">
        <v>182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>
        <v>176.8</v>
      </c>
      <c r="Y6" s="75">
        <f>SUM(U6:X6)</f>
        <v>652.59999999999991</v>
      </c>
      <c r="AA6" s="31">
        <v>190.5</v>
      </c>
      <c r="AB6" s="31">
        <v>190.9</v>
      </c>
      <c r="AC6" s="31">
        <v>210.2</v>
      </c>
      <c r="AD6" s="122">
        <v>163.6</v>
      </c>
      <c r="AE6" s="75">
        <f>SUM(AA6:AD6)</f>
        <v>755.19999999999993</v>
      </c>
    </row>
    <row r="7" spans="1:31" ht="12.75" customHeight="1" x14ac:dyDescent="0.2">
      <c r="A7" s="2" t="s">
        <v>183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>
        <v>148.69999999999999</v>
      </c>
      <c r="Y7" s="75">
        <f>SUM(U7:X7)</f>
        <v>653.59999999999991</v>
      </c>
      <c r="AA7" s="31">
        <v>184.2</v>
      </c>
      <c r="AB7" s="31">
        <v>249.2</v>
      </c>
      <c r="AC7" s="31">
        <v>232.7</v>
      </c>
      <c r="AD7" s="122">
        <v>233.9</v>
      </c>
      <c r="AE7" s="75">
        <f>SUM(AA7:AD7)</f>
        <v>899.99999999999989</v>
      </c>
    </row>
    <row r="8" spans="1:31" ht="12.75" customHeight="1" x14ac:dyDescent="0.2">
      <c r="A8" s="2" t="s">
        <v>184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>
        <v>38.6</v>
      </c>
      <c r="Y8" s="75">
        <f>SUM(U8:X8)</f>
        <v>141.4</v>
      </c>
      <c r="AA8" s="31">
        <v>46.1</v>
      </c>
      <c r="AB8" s="31">
        <v>65.3</v>
      </c>
      <c r="AC8" s="31">
        <v>45.6</v>
      </c>
      <c r="AD8" s="122">
        <v>49</v>
      </c>
      <c r="AE8" s="75">
        <f>SUM(AA8:AD8)</f>
        <v>206</v>
      </c>
    </row>
    <row r="9" spans="1:31" ht="12.75" customHeight="1" x14ac:dyDescent="0.2">
      <c r="A9" s="162" t="s">
        <v>185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>
        <v>-15.8</v>
      </c>
      <c r="Y9" s="88">
        <f>SUM(U9:X9)</f>
        <v>-45.1</v>
      </c>
      <c r="AA9" s="127">
        <v>-6.8</v>
      </c>
      <c r="AB9" s="127">
        <v>-7.4</v>
      </c>
      <c r="AC9" s="127">
        <v>-8.8000000000000007</v>
      </c>
      <c r="AD9" s="130">
        <v>-10.3</v>
      </c>
      <c r="AE9" s="88">
        <f>SUM(AA9:AD9)</f>
        <v>-33.299999999999997</v>
      </c>
    </row>
    <row r="10" spans="1:31" s="53" customFormat="1" ht="12.75" customHeight="1" x14ac:dyDescent="0.2">
      <c r="A10" s="48" t="s">
        <v>143</v>
      </c>
      <c r="C10" s="79">
        <f>+SUM(C6:C9)</f>
        <v>273.8</v>
      </c>
      <c r="D10" s="79">
        <f t="shared" ref="D10:F10" si="3">+SUM(D6:D9)</f>
        <v>390.3</v>
      </c>
      <c r="E10" s="79">
        <f t="shared" si="3"/>
        <v>396.6</v>
      </c>
      <c r="F10" s="132">
        <f t="shared" si="3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4">+SUM(J6:J9)</f>
        <v>407.20000000000005</v>
      </c>
      <c r="K10" s="79">
        <f t="shared" ref="K10" si="5">+SUM(K6:K9)</f>
        <v>366.99999999999994</v>
      </c>
      <c r="L10" s="132">
        <f t="shared" ref="L10" si="6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7">+SUM(P6:P9)</f>
        <v>337.80000000000007</v>
      </c>
      <c r="Q10" s="79">
        <f t="shared" ref="Q10" si="8">+SUM(Q6:Q9)</f>
        <v>308.60000000000002</v>
      </c>
      <c r="R10" s="132">
        <f t="shared" ref="R10" si="9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79">
        <f>+SUM(X6:X9)</f>
        <v>348.3</v>
      </c>
      <c r="Y10" s="80">
        <f>+SUM(Y6:Y9)</f>
        <v>1402.5</v>
      </c>
      <c r="AA10" s="79">
        <f>+SUM(AA6:AA9)</f>
        <v>414</v>
      </c>
      <c r="AB10" s="79">
        <f t="shared" ref="AB10:AD10" si="10">+SUM(AB6:AB9)</f>
        <v>498.00000000000006</v>
      </c>
      <c r="AC10" s="79">
        <f t="shared" si="10"/>
        <v>479.7</v>
      </c>
      <c r="AD10" s="79">
        <f t="shared" si="10"/>
        <v>436.2</v>
      </c>
      <c r="AE10" s="80">
        <f>+SUM(AE6:AE9)</f>
        <v>1827.8999999999999</v>
      </c>
    </row>
    <row r="11" spans="1:31" ht="12.75" customHeight="1" x14ac:dyDescent="0.2">
      <c r="A11" s="2" t="s">
        <v>142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1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2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3">SUM(O11:R11)</f>
        <v>74.599999999999994</v>
      </c>
      <c r="U11" s="31">
        <v>12.7</v>
      </c>
      <c r="V11" s="31">
        <v>14.6</v>
      </c>
      <c r="W11" s="31">
        <v>16.7</v>
      </c>
      <c r="X11" s="122">
        <v>25.9</v>
      </c>
      <c r="Y11" s="75">
        <f t="shared" ref="Y11:Y12" si="14">SUM(U11:X11)</f>
        <v>69.900000000000006</v>
      </c>
      <c r="AA11" s="31">
        <v>15.7</v>
      </c>
      <c r="AB11" s="31">
        <v>18.3</v>
      </c>
      <c r="AC11" s="31">
        <v>18.5</v>
      </c>
      <c r="AD11" s="122">
        <v>27.6</v>
      </c>
      <c r="AE11" s="75">
        <f t="shared" ref="AE11:AE12" si="15">SUM(AA11:AD11)</f>
        <v>80.099999999999994</v>
      </c>
    </row>
    <row r="12" spans="1:31" ht="12.75" customHeight="1" x14ac:dyDescent="0.2">
      <c r="A12" s="2" t="s">
        <v>185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1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2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3"/>
        <v>-0.4</v>
      </c>
      <c r="U12" s="31">
        <v>0</v>
      </c>
      <c r="V12" s="31">
        <v>-1.4</v>
      </c>
      <c r="W12" s="31">
        <v>-0.2</v>
      </c>
      <c r="X12" s="122">
        <v>-0.6</v>
      </c>
      <c r="Y12" s="75">
        <f t="shared" si="14"/>
        <v>-2.1999999999999997</v>
      </c>
      <c r="AA12" s="31">
        <v>-0.1</v>
      </c>
      <c r="AB12" s="31">
        <v>-0.7</v>
      </c>
      <c r="AC12" s="31">
        <v>0</v>
      </c>
      <c r="AD12" s="122">
        <v>-0.5</v>
      </c>
      <c r="AE12" s="75">
        <f t="shared" si="15"/>
        <v>-1.2999999999999998</v>
      </c>
    </row>
    <row r="13" spans="1:31" s="53" customFormat="1" ht="12.75" customHeight="1" x14ac:dyDescent="0.2">
      <c r="A13" s="48" t="s">
        <v>152</v>
      </c>
      <c r="C13" s="79">
        <f>+SUM(C10:C12)</f>
        <v>281.3</v>
      </c>
      <c r="D13" s="79">
        <f t="shared" ref="D13:G13" si="16">+SUM(D10:D12)</f>
        <v>401.5</v>
      </c>
      <c r="E13" s="79">
        <f t="shared" si="16"/>
        <v>407.8</v>
      </c>
      <c r="F13" s="132">
        <f t="shared" si="16"/>
        <v>388.70000000000005</v>
      </c>
      <c r="G13" s="80">
        <f t="shared" si="16"/>
        <v>1479.3000000000002</v>
      </c>
      <c r="H13" s="82"/>
      <c r="I13" s="79">
        <f t="shared" ref="I13:M13" si="17">+SUM(I10:I12)</f>
        <v>363.5</v>
      </c>
      <c r="J13" s="79">
        <f t="shared" si="17"/>
        <v>424.70000000000005</v>
      </c>
      <c r="K13" s="79">
        <f t="shared" si="17"/>
        <v>381.79999999999995</v>
      </c>
      <c r="L13" s="132">
        <f t="shared" si="17"/>
        <v>331.59999999999991</v>
      </c>
      <c r="M13" s="80">
        <f t="shared" si="17"/>
        <v>1501.6000000000001</v>
      </c>
      <c r="N13" s="82"/>
      <c r="O13" s="79">
        <f t="shared" ref="O13:R13" si="18">+SUM(O10:O12)</f>
        <v>294.29999999999995</v>
      </c>
      <c r="P13" s="79">
        <f t="shared" si="18"/>
        <v>355.40000000000003</v>
      </c>
      <c r="Q13" s="79">
        <f t="shared" si="18"/>
        <v>325.3</v>
      </c>
      <c r="R13" s="132">
        <f t="shared" si="18"/>
        <v>367.39999999999992</v>
      </c>
      <c r="S13" s="80">
        <f>+SUM(S10:S12)</f>
        <v>1342.3999999999996</v>
      </c>
      <c r="U13" s="79">
        <f t="shared" ref="U13:Y13" si="19">+SUM(U10:U12)</f>
        <v>331.09999999999997</v>
      </c>
      <c r="V13" s="79">
        <f t="shared" si="19"/>
        <v>372.40000000000003</v>
      </c>
      <c r="W13" s="79">
        <f t="shared" si="19"/>
        <v>393.09999999999997</v>
      </c>
      <c r="X13" s="79">
        <f t="shared" si="19"/>
        <v>373.59999999999997</v>
      </c>
      <c r="Y13" s="80">
        <f t="shared" si="19"/>
        <v>1470.2</v>
      </c>
      <c r="AA13" s="79">
        <f t="shared" ref="AA13:AE13" si="20">+SUM(AA10:AA12)</f>
        <v>429.59999999999997</v>
      </c>
      <c r="AB13" s="79">
        <f t="shared" ref="AB13:AD13" si="21">+SUM(AB10:AB12)</f>
        <v>515.6</v>
      </c>
      <c r="AC13" s="79">
        <f t="shared" si="21"/>
        <v>498.2</v>
      </c>
      <c r="AD13" s="79">
        <f t="shared" si="21"/>
        <v>463.3</v>
      </c>
      <c r="AE13" s="80">
        <f t="shared" si="20"/>
        <v>1906.6999999999998</v>
      </c>
    </row>
    <row r="14" spans="1:31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  <c r="AA14" s="133"/>
      <c r="AB14" s="133"/>
      <c r="AC14" s="133"/>
      <c r="AD14" s="134"/>
      <c r="AE14" s="126"/>
    </row>
    <row r="15" spans="1:31" ht="12.75" customHeight="1" x14ac:dyDescent="0.2">
      <c r="A15" s="5" t="s">
        <v>195</v>
      </c>
      <c r="G15" s="36"/>
      <c r="H15" s="31"/>
      <c r="M15" s="36"/>
      <c r="N15" s="31"/>
      <c r="S15" s="36"/>
      <c r="Y15" s="36"/>
      <c r="AE15" s="36"/>
    </row>
    <row r="16" spans="1:31" ht="12.75" customHeight="1" x14ac:dyDescent="0.2">
      <c r="A16" s="2" t="s">
        <v>182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>
        <v>155.19999999999999</v>
      </c>
      <c r="Y16" s="75">
        <f>SUM(U16:X16)</f>
        <v>578.5</v>
      </c>
      <c r="AA16" s="31">
        <v>160.5</v>
      </c>
      <c r="AB16" s="31">
        <v>162.69999999999999</v>
      </c>
      <c r="AC16" s="31">
        <v>178.1</v>
      </c>
      <c r="AD16" s="122">
        <v>138.80000000000001</v>
      </c>
      <c r="AE16" s="75">
        <f>SUM(AA16:AD16)</f>
        <v>640.09999999999991</v>
      </c>
    </row>
    <row r="17" spans="1:31" ht="12.75" customHeight="1" x14ac:dyDescent="0.2">
      <c r="A17" s="2" t="s">
        <v>183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22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3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4">SUM(O17:R17)</f>
        <v>389.10000000000008</v>
      </c>
      <c r="U17" s="31">
        <v>94.1</v>
      </c>
      <c r="V17" s="31">
        <v>113.5</v>
      </c>
      <c r="W17" s="31">
        <v>102.5</v>
      </c>
      <c r="X17" s="122">
        <v>83.6</v>
      </c>
      <c r="Y17" s="75">
        <f t="shared" ref="Y17:Y19" si="25">SUM(U17:X17)</f>
        <v>393.70000000000005</v>
      </c>
      <c r="AA17" s="31">
        <v>95.8</v>
      </c>
      <c r="AB17" s="31">
        <v>123.6</v>
      </c>
      <c r="AC17" s="31">
        <v>118.4</v>
      </c>
      <c r="AD17" s="122">
        <v>112.4</v>
      </c>
      <c r="AE17" s="75">
        <f t="shared" ref="AE17:AE19" si="26">SUM(AA17:AD17)</f>
        <v>450.19999999999993</v>
      </c>
    </row>
    <row r="18" spans="1:31" ht="12.75" customHeight="1" x14ac:dyDescent="0.2">
      <c r="A18" s="2" t="s">
        <v>184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22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3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4"/>
        <v>116.69999999999999</v>
      </c>
      <c r="U18" s="31">
        <v>28.4</v>
      </c>
      <c r="V18" s="31">
        <v>36.200000000000003</v>
      </c>
      <c r="W18" s="31">
        <v>38.200000000000003</v>
      </c>
      <c r="X18" s="122">
        <v>38.5</v>
      </c>
      <c r="Y18" s="75">
        <f t="shared" si="25"/>
        <v>141.30000000000001</v>
      </c>
      <c r="AA18" s="31">
        <v>46.1</v>
      </c>
      <c r="AB18" s="31">
        <v>65.2</v>
      </c>
      <c r="AC18" s="31">
        <v>45.5</v>
      </c>
      <c r="AD18" s="122">
        <v>49</v>
      </c>
      <c r="AE18" s="75">
        <f t="shared" si="26"/>
        <v>205.8</v>
      </c>
    </row>
    <row r="19" spans="1:31" ht="12.75" customHeight="1" x14ac:dyDescent="0.2">
      <c r="A19" s="47" t="s">
        <v>185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22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3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4"/>
        <v>-16.399999999999999</v>
      </c>
      <c r="U19" s="77">
        <v>-5.8</v>
      </c>
      <c r="V19" s="77">
        <v>-6.6</v>
      </c>
      <c r="W19" s="77">
        <v>-5.5</v>
      </c>
      <c r="X19" s="238">
        <v>-8.6</v>
      </c>
      <c r="Y19" s="78">
        <f t="shared" si="25"/>
        <v>-26.5</v>
      </c>
      <c r="AA19" s="77">
        <v>-6.4</v>
      </c>
      <c r="AB19" s="77">
        <v>-7.3</v>
      </c>
      <c r="AC19" s="77">
        <v>-8.8000000000000007</v>
      </c>
      <c r="AD19" s="238">
        <v>-10.5</v>
      </c>
      <c r="AE19" s="78">
        <f t="shared" si="26"/>
        <v>-33</v>
      </c>
    </row>
    <row r="20" spans="1:31" s="53" customFormat="1" ht="12.75" customHeight="1" x14ac:dyDescent="0.2">
      <c r="A20" s="48" t="s">
        <v>143</v>
      </c>
      <c r="C20" s="79">
        <f>+SUM(C16:C19)</f>
        <v>185.20000000000002</v>
      </c>
      <c r="D20" s="79">
        <f t="shared" ref="D20" si="27">+SUM(D16:D19)</f>
        <v>288.09999999999997</v>
      </c>
      <c r="E20" s="79">
        <f t="shared" ref="E20" si="28">+SUM(E16:E19)</f>
        <v>303.2</v>
      </c>
      <c r="F20" s="132">
        <f t="shared" ref="F20" si="29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30">+SUM(J16:J19)</f>
        <v>306.40000000000003</v>
      </c>
      <c r="K20" s="79">
        <f t="shared" ref="K20" si="31">+SUM(K16:K19)</f>
        <v>286.90000000000003</v>
      </c>
      <c r="L20" s="132">
        <f t="shared" ref="L20" si="32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33">+SUM(P16:P19)</f>
        <v>245</v>
      </c>
      <c r="Q20" s="79">
        <f t="shared" ref="Q20" si="34">+SUM(Q16:Q19)</f>
        <v>232.39999999999998</v>
      </c>
      <c r="R20" s="132">
        <f t="shared" ref="R20" si="35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79">
        <f>+SUM(X16:X19)</f>
        <v>268.69999999999993</v>
      </c>
      <c r="Y20" s="80">
        <f>+SUM(Y16:Y19)</f>
        <v>1087</v>
      </c>
      <c r="AA20" s="79">
        <f>+SUM(AA16:AA19)</f>
        <v>296.00000000000006</v>
      </c>
      <c r="AB20" s="79">
        <f t="shared" ref="AB20:AD20" si="36">+SUM(AB16:AB19)</f>
        <v>344.19999999999993</v>
      </c>
      <c r="AC20" s="79">
        <f t="shared" si="36"/>
        <v>333.2</v>
      </c>
      <c r="AD20" s="79">
        <f t="shared" si="36"/>
        <v>289.70000000000005</v>
      </c>
      <c r="AE20" s="80">
        <f>+SUM(AE16:AE19)</f>
        <v>1263.0999999999997</v>
      </c>
    </row>
    <row r="21" spans="1:31" s="239" customFormat="1" ht="12.75" customHeight="1" x14ac:dyDescent="0.2">
      <c r="A21" s="162" t="s">
        <v>142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37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38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39">SUM(O21:R21)</f>
        <v>74.599999999999994</v>
      </c>
      <c r="U21" s="127">
        <v>12.7</v>
      </c>
      <c r="V21" s="127">
        <v>14.6</v>
      </c>
      <c r="W21" s="127">
        <v>16.7</v>
      </c>
      <c r="X21" s="130">
        <v>25.9</v>
      </c>
      <c r="Y21" s="88">
        <f t="shared" ref="Y21:Y22" si="40">SUM(U21:X21)</f>
        <v>69.900000000000006</v>
      </c>
      <c r="AA21" s="127">
        <v>15.7</v>
      </c>
      <c r="AB21" s="127">
        <v>18.3</v>
      </c>
      <c r="AC21" s="127">
        <v>18.5</v>
      </c>
      <c r="AD21" s="130">
        <v>27.6</v>
      </c>
      <c r="AE21" s="88">
        <f t="shared" ref="AE21:AE22" si="41">SUM(AA21:AD21)</f>
        <v>80.099999999999994</v>
      </c>
    </row>
    <row r="22" spans="1:31" s="162" customFormat="1" ht="12.75" customHeight="1" x14ac:dyDescent="0.2">
      <c r="A22" s="2" t="s">
        <v>185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37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38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39"/>
        <v>-0.3</v>
      </c>
      <c r="U22" s="31">
        <v>0</v>
      </c>
      <c r="V22" s="31">
        <v>-1.4</v>
      </c>
      <c r="W22" s="31">
        <v>-0.2</v>
      </c>
      <c r="X22" s="122">
        <v>-0.6</v>
      </c>
      <c r="Y22" s="75">
        <f t="shared" si="40"/>
        <v>-2.1999999999999997</v>
      </c>
      <c r="AA22" s="31">
        <v>-0.1</v>
      </c>
      <c r="AB22" s="31">
        <v>-0.7</v>
      </c>
      <c r="AC22" s="31">
        <v>0</v>
      </c>
      <c r="AD22" s="122">
        <v>-0.5</v>
      </c>
      <c r="AE22" s="75">
        <f t="shared" si="41"/>
        <v>-1.2999999999999998</v>
      </c>
    </row>
    <row r="23" spans="1:31" s="53" customFormat="1" ht="12.75" customHeight="1" x14ac:dyDescent="0.2">
      <c r="A23" s="48" t="s">
        <v>152</v>
      </c>
      <c r="C23" s="79">
        <f>+SUM(C20:C22)</f>
        <v>192.70000000000002</v>
      </c>
      <c r="D23" s="79">
        <f t="shared" ref="D23" si="42">+SUM(D20:D22)</f>
        <v>299.29999999999995</v>
      </c>
      <c r="E23" s="79">
        <f t="shared" ref="E23" si="43">+SUM(E20:E22)</f>
        <v>314.39999999999998</v>
      </c>
      <c r="F23" s="132">
        <f t="shared" ref="F23" si="44">+SUM(F20:F22)</f>
        <v>302.00000000000006</v>
      </c>
      <c r="G23" s="80">
        <f t="shared" ref="G23" si="45">+SUM(G20:G22)</f>
        <v>1108.4000000000001</v>
      </c>
      <c r="H23" s="82"/>
      <c r="I23" s="79">
        <f t="shared" ref="I23" si="46">+SUM(I20:I22)</f>
        <v>266.89999999999998</v>
      </c>
      <c r="J23" s="79">
        <f t="shared" ref="J23" si="47">+SUM(J20:J22)</f>
        <v>324.00000000000006</v>
      </c>
      <c r="K23" s="79">
        <f t="shared" ref="K23" si="48">+SUM(K20:K22)</f>
        <v>301.60000000000002</v>
      </c>
      <c r="L23" s="132">
        <f t="shared" ref="L23" si="49">+SUM(L20:L22)</f>
        <v>254.60000000000002</v>
      </c>
      <c r="M23" s="80">
        <f t="shared" ref="M23" si="50">+SUM(M20:M22)</f>
        <v>1147.0999999999999</v>
      </c>
      <c r="N23" s="82"/>
      <c r="O23" s="79">
        <f t="shared" ref="O23" si="51">+SUM(O20:O22)</f>
        <v>219.9</v>
      </c>
      <c r="P23" s="79">
        <f t="shared" ref="P23" si="52">+SUM(P20:P22)</f>
        <v>262.59999999999997</v>
      </c>
      <c r="Q23" s="79">
        <f t="shared" ref="Q23" si="53">+SUM(Q20:Q22)</f>
        <v>249.09999999999997</v>
      </c>
      <c r="R23" s="132">
        <f t="shared" ref="R23" si="54">+SUM(R20:R22)</f>
        <v>287.70000000000005</v>
      </c>
      <c r="S23" s="80">
        <f>+SUM(S20:S22)</f>
        <v>1019.3000000000002</v>
      </c>
      <c r="U23" s="79">
        <f t="shared" ref="U23:X23" si="55">+SUM(U20:U22)</f>
        <v>252.99999999999997</v>
      </c>
      <c r="V23" s="79">
        <f t="shared" si="55"/>
        <v>291</v>
      </c>
      <c r="W23" s="79">
        <f t="shared" si="55"/>
        <v>316.7</v>
      </c>
      <c r="X23" s="79">
        <f t="shared" si="55"/>
        <v>293.99999999999989</v>
      </c>
      <c r="Y23" s="80">
        <f t="shared" ref="Y23" si="56">+SUM(Y20:Y22)</f>
        <v>1154.7</v>
      </c>
      <c r="AA23" s="79">
        <f t="shared" ref="AA23:AE23" si="57">+SUM(AA20:AA22)</f>
        <v>311.60000000000002</v>
      </c>
      <c r="AB23" s="79">
        <f t="shared" ref="AB23:AD23" si="58">+SUM(AB20:AB22)</f>
        <v>361.79999999999995</v>
      </c>
      <c r="AC23" s="79">
        <f t="shared" si="58"/>
        <v>351.7</v>
      </c>
      <c r="AD23" s="79">
        <f t="shared" si="58"/>
        <v>316.80000000000007</v>
      </c>
      <c r="AE23" s="80">
        <f t="shared" si="57"/>
        <v>1341.8999999999996</v>
      </c>
    </row>
    <row r="24" spans="1:31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  <c r="AA24" s="29"/>
      <c r="AB24" s="29"/>
      <c r="AC24" s="29"/>
      <c r="AD24" s="28"/>
      <c r="AE24" s="64"/>
    </row>
    <row r="25" spans="1:31" ht="12.75" customHeight="1" x14ac:dyDescent="0.2">
      <c r="A25" s="5" t="s">
        <v>186</v>
      </c>
      <c r="G25" s="36"/>
      <c r="M25" s="36"/>
      <c r="N25"/>
      <c r="S25" s="36"/>
      <c r="Y25" s="36"/>
      <c r="AE25" s="36"/>
    </row>
    <row r="26" spans="1:31" ht="12.75" customHeight="1" x14ac:dyDescent="0.2">
      <c r="A26" s="2" t="s">
        <v>182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>
        <v>8.9</v>
      </c>
      <c r="Y26" s="75">
        <f>SUM(U26:X26)</f>
        <v>35.9</v>
      </c>
      <c r="AA26" s="31">
        <v>19.5</v>
      </c>
      <c r="AB26" s="31">
        <v>23</v>
      </c>
      <c r="AC26" s="31">
        <v>34.6</v>
      </c>
      <c r="AD26" s="122">
        <v>6</v>
      </c>
      <c r="AE26" s="75">
        <f>SUM(AA26:AD26)</f>
        <v>83.1</v>
      </c>
    </row>
    <row r="27" spans="1:31" ht="12.75" customHeight="1" x14ac:dyDescent="0.2">
      <c r="A27" s="2" t="s">
        <v>183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59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60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61">SUM(O27:R27)</f>
        <v>0.30000000000000027</v>
      </c>
      <c r="U27" s="31">
        <v>3.5</v>
      </c>
      <c r="V27" s="31">
        <v>5.5</v>
      </c>
      <c r="W27" s="31">
        <v>5.0999999999999996</v>
      </c>
      <c r="X27" s="122">
        <v>0.4</v>
      </c>
      <c r="Y27" s="75">
        <f t="shared" ref="Y27:Y29" si="62">SUM(U27:X27)</f>
        <v>14.5</v>
      </c>
      <c r="AA27" s="31">
        <v>5.5</v>
      </c>
      <c r="AB27" s="31">
        <v>7.6</v>
      </c>
      <c r="AC27" s="31">
        <v>9</v>
      </c>
      <c r="AD27" s="122">
        <v>6.4</v>
      </c>
      <c r="AE27" s="75">
        <f t="shared" ref="AE27:AE29" si="63">SUM(AA27:AD27)</f>
        <v>28.5</v>
      </c>
    </row>
    <row r="28" spans="1:31" ht="12.75" customHeight="1" x14ac:dyDescent="0.2">
      <c r="A28" s="2" t="s">
        <v>184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59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60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61"/>
        <v>13.5</v>
      </c>
      <c r="U28" s="31">
        <v>2.9</v>
      </c>
      <c r="V28" s="31">
        <v>4.0999999999999996</v>
      </c>
      <c r="W28" s="31">
        <v>4.4000000000000004</v>
      </c>
      <c r="X28" s="122">
        <v>3.8</v>
      </c>
      <c r="Y28" s="75">
        <f t="shared" si="62"/>
        <v>15.2</v>
      </c>
      <c r="AA28" s="31">
        <v>7.9</v>
      </c>
      <c r="AB28" s="31">
        <v>14.5</v>
      </c>
      <c r="AC28" s="31">
        <v>4.5</v>
      </c>
      <c r="AD28" s="122">
        <v>5.9</v>
      </c>
      <c r="AE28" s="75">
        <f t="shared" si="63"/>
        <v>32.799999999999997</v>
      </c>
    </row>
    <row r="29" spans="1:31" ht="12.75" customHeight="1" x14ac:dyDescent="0.2">
      <c r="A29" s="47" t="s">
        <v>189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59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60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61"/>
        <v>-12.8</v>
      </c>
      <c r="U29" s="77">
        <v>-1.8</v>
      </c>
      <c r="V29" s="77">
        <v>-2.6999999999999993</v>
      </c>
      <c r="W29" s="77">
        <v>-0.4</v>
      </c>
      <c r="X29" s="238">
        <v>-4</v>
      </c>
      <c r="Y29" s="78">
        <f t="shared" si="62"/>
        <v>-8.8999999999999986</v>
      </c>
      <c r="AA29" s="77">
        <v>-2.7</v>
      </c>
      <c r="AB29" s="77">
        <v>-2.7</v>
      </c>
      <c r="AC29" s="77">
        <v>-3.3</v>
      </c>
      <c r="AD29" s="238">
        <v>-4.5999999999999996</v>
      </c>
      <c r="AE29" s="78">
        <f t="shared" si="63"/>
        <v>-13.299999999999999</v>
      </c>
    </row>
    <row r="30" spans="1:31" s="53" customFormat="1" ht="12.75" customHeight="1" x14ac:dyDescent="0.2">
      <c r="A30" s="48" t="s">
        <v>143</v>
      </c>
      <c r="C30" s="79">
        <f>+SUM(C26:C29)</f>
        <v>17.799999999999997</v>
      </c>
      <c r="D30" s="79">
        <f t="shared" ref="D30" si="64">+SUM(D26:D29)</f>
        <v>42.9</v>
      </c>
      <c r="E30" s="79">
        <f t="shared" ref="E30" si="65">+SUM(E26:E29)</f>
        <v>43.8</v>
      </c>
      <c r="F30" s="132">
        <f t="shared" ref="F30" si="66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67">+SUM(J26:J29)</f>
        <v>32.1</v>
      </c>
      <c r="K30" s="79">
        <f t="shared" ref="K30" si="68">+SUM(K26:K29)</f>
        <v>26.1</v>
      </c>
      <c r="L30" s="132">
        <f t="shared" ref="L30" si="69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70">+SUM(P26:P29)</f>
        <v>9.3999999999999986</v>
      </c>
      <c r="Q30" s="79">
        <f t="shared" ref="Q30" si="71">+SUM(Q26:Q29)</f>
        <v>6.8999999999999995</v>
      </c>
      <c r="R30" s="132">
        <f t="shared" ref="R30" si="72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79">
        <f>+SUM(X26:X29)</f>
        <v>9.1000000000000014</v>
      </c>
      <c r="Y30" s="80">
        <f>+SUM(Y26:Y29)</f>
        <v>56.699999999999996</v>
      </c>
      <c r="AA30" s="79">
        <f>+SUM(AA26:AA29)</f>
        <v>30.2</v>
      </c>
      <c r="AB30" s="79">
        <f t="shared" ref="AB30:AD30" si="73">+SUM(AB26:AB29)</f>
        <v>42.4</v>
      </c>
      <c r="AC30" s="79">
        <f t="shared" si="73"/>
        <v>44.800000000000004</v>
      </c>
      <c r="AD30" s="79">
        <f t="shared" si="73"/>
        <v>13.700000000000001</v>
      </c>
      <c r="AE30" s="80">
        <f>+SUM(AE26:AE29)</f>
        <v>131.09999999999997</v>
      </c>
    </row>
    <row r="31" spans="1:31" ht="12.75" customHeight="1" x14ac:dyDescent="0.2">
      <c r="A31" s="2" t="s">
        <v>142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74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75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76">SUM(O31:R31)</f>
        <v>14.6</v>
      </c>
      <c r="U31" s="31">
        <v>-1.8</v>
      </c>
      <c r="V31" s="31">
        <v>-0.8</v>
      </c>
      <c r="W31" s="31">
        <v>1</v>
      </c>
      <c r="X31" s="122">
        <v>4.2</v>
      </c>
      <c r="Y31" s="75">
        <f t="shared" ref="Y31:Y32" si="77">SUM(U31:X31)</f>
        <v>2.6</v>
      </c>
      <c r="AA31" s="31">
        <v>-1.2</v>
      </c>
      <c r="AB31" s="31">
        <v>0</v>
      </c>
      <c r="AC31" s="31">
        <v>3.2</v>
      </c>
      <c r="AD31" s="122">
        <v>5.5</v>
      </c>
      <c r="AE31" s="75">
        <f t="shared" ref="AE31:AE32" si="78">SUM(AA31:AD31)</f>
        <v>7.5</v>
      </c>
    </row>
    <row r="32" spans="1:31" ht="12.75" customHeight="1" x14ac:dyDescent="0.2">
      <c r="A32" s="2" t="s">
        <v>185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74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75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76"/>
        <v>0</v>
      </c>
      <c r="U32" s="31">
        <v>0</v>
      </c>
      <c r="V32" s="31">
        <v>0</v>
      </c>
      <c r="W32" s="31">
        <v>0</v>
      </c>
      <c r="X32" s="122">
        <v>0</v>
      </c>
      <c r="Y32" s="75">
        <f t="shared" si="77"/>
        <v>0</v>
      </c>
      <c r="AA32" s="31">
        <v>0</v>
      </c>
      <c r="AB32" s="31">
        <v>0</v>
      </c>
      <c r="AC32" s="31">
        <v>0</v>
      </c>
      <c r="AD32" s="122">
        <v>0</v>
      </c>
      <c r="AE32" s="75">
        <f t="shared" si="78"/>
        <v>0</v>
      </c>
    </row>
    <row r="33" spans="1:144" s="53" customFormat="1" ht="12.75" customHeight="1" x14ac:dyDescent="0.2">
      <c r="A33" s="48" t="s">
        <v>152</v>
      </c>
      <c r="C33" s="79">
        <f>+SUM(C30:C32)</f>
        <v>15.699999999999998</v>
      </c>
      <c r="D33" s="79">
        <f t="shared" ref="D33" si="79">+SUM(D30:D32)</f>
        <v>43.6</v>
      </c>
      <c r="E33" s="79">
        <f t="shared" ref="E33" si="80">+SUM(E30:E32)</f>
        <v>43</v>
      </c>
      <c r="F33" s="132">
        <f t="shared" ref="F33" si="81">+SUM(F30:F32)</f>
        <v>39.5</v>
      </c>
      <c r="G33" s="80">
        <f t="shared" ref="G33" si="82">+SUM(G30:G32)</f>
        <v>141.80000000000001</v>
      </c>
      <c r="H33" s="82"/>
      <c r="I33" s="79">
        <f t="shared" ref="I33" si="83">+SUM(I30:I32)</f>
        <v>18.899999999999999</v>
      </c>
      <c r="J33" s="79">
        <f t="shared" ref="J33" si="84">+SUM(J30:J32)</f>
        <v>33.1</v>
      </c>
      <c r="K33" s="79">
        <f t="shared" ref="K33" si="85">+SUM(K30:K32)</f>
        <v>27.6</v>
      </c>
      <c r="L33" s="132">
        <f t="shared" ref="L33" si="86">+SUM(L30:L32)</f>
        <v>-0.30000000000000038</v>
      </c>
      <c r="M33" s="80">
        <f t="shared" ref="M33" si="87">+SUM(M30:M32)</f>
        <v>79.3</v>
      </c>
      <c r="N33" s="82"/>
      <c r="O33" s="79">
        <f t="shared" ref="O33" si="88">+SUM(O30:O32)</f>
        <v>-2.8000000000000003</v>
      </c>
      <c r="P33" s="79">
        <f t="shared" ref="P33" si="89">+SUM(P30:P32)</f>
        <v>13.299999999999999</v>
      </c>
      <c r="Q33" s="79">
        <f t="shared" ref="Q33" si="90">+SUM(Q30:Q32)</f>
        <v>10.799999999999999</v>
      </c>
      <c r="R33" s="132">
        <f t="shared" ref="R33" si="91">+SUM(R30:R32)</f>
        <v>8.3999999999999968</v>
      </c>
      <c r="S33" s="80">
        <f>+SUM(S30:S32)</f>
        <v>29.699999999999996</v>
      </c>
      <c r="U33" s="79">
        <f t="shared" ref="U33:X33" si="92">+SUM(U30:U32)</f>
        <v>8.3999999999999986</v>
      </c>
      <c r="V33" s="79">
        <f t="shared" si="92"/>
        <v>15.2</v>
      </c>
      <c r="W33" s="79">
        <f t="shared" si="92"/>
        <v>22.4</v>
      </c>
      <c r="X33" s="79">
        <f t="shared" si="92"/>
        <v>13.3</v>
      </c>
      <c r="Y33" s="80">
        <f t="shared" ref="Y33" si="93">+SUM(Y30:Y32)</f>
        <v>59.3</v>
      </c>
      <c r="AA33" s="79">
        <f t="shared" ref="AA33:AE33" si="94">+SUM(AA30:AA32)</f>
        <v>29</v>
      </c>
      <c r="AB33" s="79">
        <f t="shared" ref="AB33:AD33" si="95">+SUM(AB30:AB32)</f>
        <v>42.4</v>
      </c>
      <c r="AC33" s="79">
        <f t="shared" si="95"/>
        <v>48.000000000000007</v>
      </c>
      <c r="AD33" s="79">
        <f t="shared" si="95"/>
        <v>19.200000000000003</v>
      </c>
      <c r="AE33" s="80">
        <f t="shared" si="94"/>
        <v>138.59999999999997</v>
      </c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  <c r="AA34" s="67"/>
      <c r="AB34" s="67"/>
      <c r="AC34" s="67"/>
      <c r="AD34" s="67"/>
      <c r="AE34" s="68"/>
    </row>
    <row r="35" spans="1:144" s="5" customFormat="1" ht="12.75" customHeight="1" x14ac:dyDescent="0.2">
      <c r="A35" s="2" t="s">
        <v>187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96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8">
        <v>-1</v>
      </c>
      <c r="X35" s="246">
        <v>0.2</v>
      </c>
      <c r="Y35" s="75">
        <f>SUM(U35:X35)</f>
        <v>-9.9</v>
      </c>
      <c r="AA35" s="248">
        <v>1.8</v>
      </c>
      <c r="AB35" s="248">
        <v>0</v>
      </c>
      <c r="AC35" s="248">
        <v>-14.5</v>
      </c>
      <c r="AD35" s="246">
        <v>0</v>
      </c>
      <c r="AE35" s="75">
        <f>SUM(AA35:AD35)</f>
        <v>-12.7</v>
      </c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AA36" s="28"/>
      <c r="AB36" s="28"/>
      <c r="AC36" s="28"/>
      <c r="AD36" s="28"/>
      <c r="AE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AA37" s="28"/>
      <c r="AB37" s="28"/>
      <c r="AC37" s="28"/>
      <c r="AD37" s="28"/>
      <c r="AE37" s="64"/>
      <c r="EN37" s="27"/>
    </row>
    <row r="38" spans="1:144" s="1" customFormat="1" ht="12.75" customHeight="1" x14ac:dyDescent="0.2">
      <c r="A38" s="3" t="s">
        <v>143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>
        <v>9.3000000000000007</v>
      </c>
      <c r="Y38" s="75">
        <f>SUM(U38:X38)</f>
        <v>46.8</v>
      </c>
      <c r="AA38" s="227">
        <f>+AA30+AA35</f>
        <v>32</v>
      </c>
      <c r="AB38" s="227">
        <f t="shared" ref="AB38:AD38" si="97">+AB30+AB35</f>
        <v>42.4</v>
      </c>
      <c r="AC38" s="227">
        <f t="shared" si="97"/>
        <v>30.300000000000004</v>
      </c>
      <c r="AD38" s="227">
        <f t="shared" si="97"/>
        <v>13.700000000000001</v>
      </c>
      <c r="AE38" s="75">
        <f>SUM(AA38:AD38)</f>
        <v>118.40000000000002</v>
      </c>
      <c r="EN38" s="4"/>
    </row>
    <row r="39" spans="1:144" s="162" customFormat="1" ht="12.75" customHeight="1" x14ac:dyDescent="0.2">
      <c r="A39" s="162" t="s">
        <v>142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>
        <v>4.2</v>
      </c>
      <c r="Y39" s="88">
        <f>SUM(U39:X39)</f>
        <v>2.6</v>
      </c>
      <c r="AA39" s="210">
        <f>+AA31</f>
        <v>-1.2</v>
      </c>
      <c r="AB39" s="210">
        <f t="shared" ref="AB39:AD39" si="98">+AB31</f>
        <v>0</v>
      </c>
      <c r="AC39" s="210">
        <f t="shared" si="98"/>
        <v>3.2</v>
      </c>
      <c r="AD39" s="210">
        <f t="shared" si="98"/>
        <v>5.5</v>
      </c>
      <c r="AE39" s="88">
        <f>SUM(AA39:AD39)</f>
        <v>7.5</v>
      </c>
    </row>
    <row r="40" spans="1:144" s="53" customFormat="1" ht="12.75" customHeight="1" x14ac:dyDescent="0.2">
      <c r="A40" s="48" t="s">
        <v>152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79">
        <f>+SUM(X38:X39)</f>
        <v>13.5</v>
      </c>
      <c r="Y40" s="80">
        <f>+SUM(Y38:Y39)</f>
        <v>49.4</v>
      </c>
      <c r="AA40" s="79">
        <f>+SUM(AA38:AA39)</f>
        <v>30.8</v>
      </c>
      <c r="AB40" s="79">
        <f t="shared" ref="AB40:AD40" si="99">+SUM(AB38:AB39)</f>
        <v>42.4</v>
      </c>
      <c r="AC40" s="79">
        <f t="shared" si="99"/>
        <v>33.500000000000007</v>
      </c>
      <c r="AD40" s="79">
        <f t="shared" si="99"/>
        <v>19.200000000000003</v>
      </c>
      <c r="AE40" s="80">
        <f>+SUM(AE38:AE39)</f>
        <v>125.90000000000002</v>
      </c>
    </row>
    <row r="41" spans="1:144" ht="12.75" customHeight="1" x14ac:dyDescent="0.2">
      <c r="G41" s="54"/>
      <c r="M41" s="54"/>
      <c r="S41" s="54"/>
      <c r="Y41" s="54"/>
      <c r="AE41" s="54"/>
    </row>
    <row r="42" spans="1:144" ht="12.75" customHeight="1" x14ac:dyDescent="0.2">
      <c r="A42" s="5" t="s">
        <v>188</v>
      </c>
      <c r="G42" s="54"/>
      <c r="M42" s="54"/>
      <c r="S42" s="54"/>
      <c r="Y42" s="54"/>
      <c r="AE42" s="54"/>
    </row>
    <row r="43" spans="1:144" ht="12.75" customHeight="1" x14ac:dyDescent="0.2">
      <c r="A43" s="2" t="s">
        <v>182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>
        <v>-9</v>
      </c>
      <c r="Y43" s="75">
        <f>SUM(U43:X43)</f>
        <v>-28.3</v>
      </c>
      <c r="Z43" s="3"/>
      <c r="AA43" s="31">
        <v>4.5999999999999996</v>
      </c>
      <c r="AB43" s="31">
        <v>8.1</v>
      </c>
      <c r="AC43" s="31">
        <v>17.5</v>
      </c>
      <c r="AD43" s="122">
        <v>-16.2</v>
      </c>
      <c r="AE43" s="75">
        <f>SUM(AA43:AD43)</f>
        <v>14</v>
      </c>
    </row>
    <row r="44" spans="1:144" ht="12.75" customHeight="1" x14ac:dyDescent="0.2">
      <c r="A44" s="2" t="s">
        <v>183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100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101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102">SUM(O44:R44)</f>
        <v>-14.8</v>
      </c>
      <c r="U44" s="31">
        <v>-0.8</v>
      </c>
      <c r="V44" s="31">
        <v>2.1</v>
      </c>
      <c r="W44" s="31">
        <v>2.4</v>
      </c>
      <c r="X44" s="122">
        <v>-3.9</v>
      </c>
      <c r="Y44" s="75">
        <f t="shared" ref="Y44:Y46" si="103">SUM(U44:X44)</f>
        <v>-0.19999999999999973</v>
      </c>
      <c r="Z44" s="3"/>
      <c r="AA44" s="31">
        <v>1.3</v>
      </c>
      <c r="AB44" s="31">
        <v>3.4</v>
      </c>
      <c r="AC44" s="31">
        <v>4.7</v>
      </c>
      <c r="AD44" s="122">
        <v>3.7</v>
      </c>
      <c r="AE44" s="75">
        <f t="shared" ref="AE44:AE46" si="104">SUM(AA44:AD44)</f>
        <v>13.100000000000001</v>
      </c>
    </row>
    <row r="45" spans="1:144" ht="12.75" customHeight="1" x14ac:dyDescent="0.2">
      <c r="A45" s="2" t="s">
        <v>184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100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101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102"/>
        <v>8.6999999999999993</v>
      </c>
      <c r="U45" s="31">
        <v>1.7</v>
      </c>
      <c r="V45" s="31">
        <v>3</v>
      </c>
      <c r="W45" s="31">
        <v>3.2</v>
      </c>
      <c r="X45" s="122">
        <v>2.6</v>
      </c>
      <c r="Y45" s="75">
        <f t="shared" si="103"/>
        <v>10.5</v>
      </c>
      <c r="Z45" s="3"/>
      <c r="AA45" s="31">
        <v>6.9</v>
      </c>
      <c r="AB45" s="31">
        <v>13.4</v>
      </c>
      <c r="AC45" s="31">
        <v>3.3</v>
      </c>
      <c r="AD45" s="122">
        <v>4.8</v>
      </c>
      <c r="AE45" s="75">
        <f t="shared" si="104"/>
        <v>28.400000000000002</v>
      </c>
    </row>
    <row r="46" spans="1:144" ht="12.75" customHeight="1" x14ac:dyDescent="0.2">
      <c r="A46" s="47" t="s">
        <v>189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100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101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102"/>
        <v>-16.2</v>
      </c>
      <c r="U46" s="77">
        <v>-0.9</v>
      </c>
      <c r="V46" s="77">
        <v>-3</v>
      </c>
      <c r="W46" s="77">
        <v>-1.2</v>
      </c>
      <c r="X46" s="238">
        <v>-5.4</v>
      </c>
      <c r="Y46" s="78">
        <f t="shared" si="103"/>
        <v>-10.5</v>
      </c>
      <c r="Z46" s="3"/>
      <c r="AA46" s="77">
        <v>-3.8</v>
      </c>
      <c r="AB46" s="77">
        <v>-3.9</v>
      </c>
      <c r="AC46" s="77">
        <v>-4.4000000000000004</v>
      </c>
      <c r="AD46" s="238">
        <v>-6.8</v>
      </c>
      <c r="AE46" s="78">
        <f t="shared" si="104"/>
        <v>-18.899999999999999</v>
      </c>
    </row>
    <row r="47" spans="1:144" s="53" customFormat="1" ht="12.75" customHeight="1" x14ac:dyDescent="0.2">
      <c r="A47" s="48" t="s">
        <v>143</v>
      </c>
      <c r="C47" s="79">
        <f>+SUM(C43:C46)</f>
        <v>7.1000000000000005</v>
      </c>
      <c r="D47" s="79">
        <f t="shared" ref="D47" si="105">+SUM(D43:D46)</f>
        <v>24.600000000000005</v>
      </c>
      <c r="E47" s="79">
        <f t="shared" ref="E47" si="106">+SUM(E43:E46)</f>
        <v>20.8</v>
      </c>
      <c r="F47" s="132">
        <f t="shared" ref="F47" si="107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108">+SUM(J43:J46)</f>
        <v>12.8</v>
      </c>
      <c r="K47" s="79">
        <f t="shared" ref="K47" si="109">+SUM(K43:K46)</f>
        <v>6.799999999999998</v>
      </c>
      <c r="L47" s="132">
        <f t="shared" ref="L47" si="110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111">+SUM(P43:P46)</f>
        <v>-10.899999999999999</v>
      </c>
      <c r="Q47" s="79">
        <f t="shared" ref="Q47" si="112">+SUM(Q43:Q46)</f>
        <v>-13.899999999999999</v>
      </c>
      <c r="R47" s="132">
        <f t="shared" ref="R47" si="113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79">
        <f>+SUM(X43:X46)</f>
        <v>-15.700000000000001</v>
      </c>
      <c r="Y47" s="80">
        <f>+SUM(Y43:Y46)</f>
        <v>-28.5</v>
      </c>
      <c r="Z47" s="264"/>
      <c r="AA47" s="79">
        <f>+SUM(AA43:AA46)</f>
        <v>9</v>
      </c>
      <c r="AB47" s="79">
        <f t="shared" ref="AB47:AD47" si="114">+SUM(AB43:AB46)</f>
        <v>21</v>
      </c>
      <c r="AC47" s="79">
        <f t="shared" si="114"/>
        <v>21.1</v>
      </c>
      <c r="AD47" s="79">
        <f t="shared" si="114"/>
        <v>-14.5</v>
      </c>
      <c r="AE47" s="80">
        <f>+SUM(AE43:AE46)</f>
        <v>36.6</v>
      </c>
    </row>
    <row r="48" spans="1:144" s="5" customFormat="1" ht="12.75" customHeight="1" x14ac:dyDescent="0.2">
      <c r="A48" s="2" t="s">
        <v>142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115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116">SUM(O48:R48)</f>
        <v>4.7</v>
      </c>
      <c r="U48" s="31">
        <v>-4.3</v>
      </c>
      <c r="V48" s="31">
        <v>-3.8</v>
      </c>
      <c r="W48" s="31">
        <v>-2.2000000000000002</v>
      </c>
      <c r="X48" s="122">
        <v>0.8</v>
      </c>
      <c r="Y48" s="75">
        <f t="shared" ref="Y48" si="117">SUM(U48:X48)</f>
        <v>-9.5</v>
      </c>
      <c r="Z48" s="1"/>
      <c r="AA48" s="31">
        <v>-4.7</v>
      </c>
      <c r="AB48" s="31">
        <v>-3.5</v>
      </c>
      <c r="AC48" s="31">
        <v>-0.3</v>
      </c>
      <c r="AD48" s="122">
        <v>1.4</v>
      </c>
      <c r="AE48" s="75">
        <f t="shared" ref="AE48" si="118">SUM(AA48:AD48)</f>
        <v>-7.1</v>
      </c>
      <c r="EN48" s="27"/>
    </row>
    <row r="49" spans="1:144" s="53" customFormat="1" ht="12.75" customHeight="1" x14ac:dyDescent="0.2">
      <c r="A49" s="48" t="s">
        <v>152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79">
        <f>+SUM(X47:X48)</f>
        <v>-14.9</v>
      </c>
      <c r="Y49" s="80">
        <f>+SUM(Y47:Y48)</f>
        <v>-38</v>
      </c>
      <c r="Z49" s="264"/>
      <c r="AA49" s="79">
        <f>+SUM(AA47:AA48)</f>
        <v>4.3</v>
      </c>
      <c r="AB49" s="79">
        <f t="shared" ref="AB49:AD49" si="119">+SUM(AB47:AB48)</f>
        <v>17.5</v>
      </c>
      <c r="AC49" s="79">
        <f t="shared" si="119"/>
        <v>20.8</v>
      </c>
      <c r="AD49" s="79">
        <f t="shared" si="119"/>
        <v>-13.1</v>
      </c>
      <c r="AE49" s="80">
        <f>+SUM(AE47:AE48)</f>
        <v>29.5</v>
      </c>
    </row>
    <row r="50" spans="1:144" s="5" customFormat="1" ht="12.75" customHeight="1" x14ac:dyDescent="0.2">
      <c r="B50" s="63"/>
      <c r="G50" s="36"/>
      <c r="M50" s="36"/>
      <c r="S50" s="36"/>
      <c r="Y50" s="36"/>
      <c r="AE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AE51" s="36"/>
      <c r="EN51" s="4"/>
    </row>
    <row r="52" spans="1:144" s="1" customFormat="1" ht="12.75" customHeight="1" x14ac:dyDescent="0.2">
      <c r="A52" s="3" t="s">
        <v>143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>
        <v>-15.5</v>
      </c>
      <c r="Y52" s="75">
        <f>SUM(U52:X52)</f>
        <v>-38.400000000000006</v>
      </c>
      <c r="AA52" s="227">
        <v>10.8</v>
      </c>
      <c r="AB52" s="227">
        <v>21</v>
      </c>
      <c r="AC52" s="227">
        <v>6.6</v>
      </c>
      <c r="AD52" s="227">
        <v>-14.5</v>
      </c>
      <c r="AE52" s="75">
        <f>SUM(AA52:AD52)</f>
        <v>23.9</v>
      </c>
      <c r="EN52" s="4"/>
    </row>
    <row r="53" spans="1:144" s="1" customFormat="1" ht="12.75" customHeight="1" x14ac:dyDescent="0.2">
      <c r="A53" s="3" t="s">
        <v>142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>
        <v>0.8</v>
      </c>
      <c r="Y53" s="75">
        <f>SUM(U53:X53)</f>
        <v>-9.5</v>
      </c>
      <c r="AA53" s="203">
        <v>-4.7</v>
      </c>
      <c r="AB53" s="203">
        <v>-3.5</v>
      </c>
      <c r="AC53" s="203">
        <v>-0.3</v>
      </c>
      <c r="AD53" s="203">
        <v>1.4</v>
      </c>
      <c r="AE53" s="75">
        <f>SUM(AA53:AD53)</f>
        <v>-7.1</v>
      </c>
      <c r="EN53" s="4"/>
    </row>
    <row r="54" spans="1:144" s="53" customFormat="1" ht="12.75" customHeight="1" x14ac:dyDescent="0.2">
      <c r="A54" s="48" t="s">
        <v>152</v>
      </c>
      <c r="C54" s="79">
        <f t="shared" ref="C54" si="120">+SUM(C52:C53)</f>
        <v>-10.6</v>
      </c>
      <c r="D54" s="79">
        <f t="shared" ref="D54" si="121">+SUM(D52:D53)</f>
        <v>19</v>
      </c>
      <c r="E54" s="79">
        <f t="shared" ref="E54" si="122">+SUM(E52:E53)</f>
        <v>11.5</v>
      </c>
      <c r="F54" s="132">
        <f t="shared" ref="F54" si="123">+SUM(F52:F53)</f>
        <v>-2.6000000000000005</v>
      </c>
      <c r="G54" s="80">
        <f>+SUM(G52:G53)</f>
        <v>17.3</v>
      </c>
      <c r="H54" s="82"/>
      <c r="I54" s="79">
        <f t="shared" ref="I54" si="124">+SUM(I52:I53)</f>
        <v>-5.6</v>
      </c>
      <c r="J54" s="79">
        <f t="shared" ref="J54" si="125">+SUM(J52:J53)</f>
        <v>4.3</v>
      </c>
      <c r="K54" s="79">
        <f t="shared" ref="K54" si="126">+SUM(K52:K53)</f>
        <v>-3</v>
      </c>
      <c r="L54" s="132">
        <f t="shared" ref="L54" si="127">+SUM(L52:L53)</f>
        <v>-33.199999999999996</v>
      </c>
      <c r="M54" s="80">
        <f>+SUM(M52:M53)</f>
        <v>-37.5</v>
      </c>
      <c r="N54" s="82"/>
      <c r="O54" s="79">
        <f t="shared" ref="O54" si="128">+SUM(O52:O53)</f>
        <v>-22.6</v>
      </c>
      <c r="P54" s="79">
        <f t="shared" ref="P54" si="129">+SUM(P52:P53)</f>
        <v>-13.3</v>
      </c>
      <c r="Q54" s="79">
        <f t="shared" ref="Q54" si="130">+SUM(Q52:Q53)</f>
        <v>-17</v>
      </c>
      <c r="R54" s="132">
        <f t="shared" ref="R54" si="131">+SUM(R52:R53)</f>
        <v>-30.100000000000009</v>
      </c>
      <c r="S54" s="80">
        <f>+SUM(S52:S53)</f>
        <v>-83</v>
      </c>
      <c r="U54" s="208">
        <f t="shared" ref="U54:X54" si="132">+SUM(U52:U53)</f>
        <v>-15.2</v>
      </c>
      <c r="V54" s="208">
        <f t="shared" si="132"/>
        <v>-16.100000000000001</v>
      </c>
      <c r="W54" s="208">
        <f t="shared" si="132"/>
        <v>-1.9000000000000001</v>
      </c>
      <c r="X54" s="208">
        <f t="shared" si="132"/>
        <v>-14.7</v>
      </c>
      <c r="Y54" s="80">
        <f>+SUM(Y52:Y53)</f>
        <v>-47.900000000000006</v>
      </c>
      <c r="AA54" s="208">
        <f t="shared" ref="AA54" si="133">+SUM(AA52:AA53)</f>
        <v>6.1000000000000005</v>
      </c>
      <c r="AB54" s="208">
        <f t="shared" ref="AB54:AD54" si="134">+SUM(AB52:AB53)</f>
        <v>17.5</v>
      </c>
      <c r="AC54" s="208">
        <f t="shared" si="134"/>
        <v>6.3</v>
      </c>
      <c r="AD54" s="208">
        <f t="shared" si="134"/>
        <v>-13.1</v>
      </c>
      <c r="AE54" s="80">
        <f>+SUM(AE52:AE53)</f>
        <v>16.799999999999997</v>
      </c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  <c r="AA55" s="87"/>
      <c r="AB55" s="87"/>
      <c r="AC55" s="87"/>
      <c r="AD55" s="243"/>
      <c r="AE55" s="88"/>
    </row>
    <row r="56" spans="1:144" s="162" customFormat="1" ht="12.75" customHeight="1" x14ac:dyDescent="0.2">
      <c r="A56" s="1" t="s">
        <v>55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  <c r="AA56" s="1"/>
      <c r="AB56" s="1"/>
      <c r="AC56" s="1"/>
      <c r="AD56" s="1"/>
      <c r="AE56" s="36"/>
    </row>
    <row r="57" spans="1:144" s="162" customFormat="1" ht="12.75" customHeight="1" x14ac:dyDescent="0.2">
      <c r="A57" s="3" t="s">
        <v>143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>
        <v>105.1</v>
      </c>
      <c r="Y57" s="75">
        <f>SUM(U57:X57)</f>
        <v>135.6</v>
      </c>
      <c r="AA57" s="227">
        <v>-22.7</v>
      </c>
      <c r="AB57" s="227">
        <v>-99.7</v>
      </c>
      <c r="AC57" s="227">
        <v>149.6</v>
      </c>
      <c r="AD57" s="227">
        <v>181.6</v>
      </c>
      <c r="AE57" s="75">
        <f>SUM(AA57:AD57)</f>
        <v>208.79999999999998</v>
      </c>
    </row>
    <row r="58" spans="1:144" s="162" customFormat="1" ht="12.75" customHeight="1" x14ac:dyDescent="0.2">
      <c r="A58" s="3" t="s">
        <v>142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>
        <v>5.8</v>
      </c>
      <c r="Y58" s="75">
        <f>SUM(U58:X58)</f>
        <v>0.70000000000000018</v>
      </c>
      <c r="AA58" s="210">
        <v>0.4</v>
      </c>
      <c r="AB58" s="210">
        <v>0.1</v>
      </c>
      <c r="AC58" s="210">
        <v>-3.8</v>
      </c>
      <c r="AD58" s="210">
        <v>2.2999999999999998</v>
      </c>
      <c r="AE58" s="75">
        <f>SUM(AA58:AD58)</f>
        <v>-1</v>
      </c>
    </row>
    <row r="59" spans="1:144" s="53" customFormat="1" ht="12.75" customHeight="1" x14ac:dyDescent="0.2">
      <c r="A59" s="48" t="s">
        <v>152</v>
      </c>
      <c r="C59" s="79">
        <f t="shared" ref="C59" si="135">+SUM(C57:C58)</f>
        <v>-21.5</v>
      </c>
      <c r="D59" s="79">
        <f t="shared" ref="D59" si="136">+SUM(D57:D58)</f>
        <v>6.1</v>
      </c>
      <c r="E59" s="79">
        <f t="shared" ref="E59" si="137">+SUM(E57:E58)</f>
        <v>30.5</v>
      </c>
      <c r="F59" s="132">
        <f t="shared" ref="F59" si="138">+SUM(F57:F58)</f>
        <v>62.70000000000001</v>
      </c>
      <c r="G59" s="80">
        <f>+SUM(G57:G58)</f>
        <v>77.8</v>
      </c>
      <c r="H59" s="82"/>
      <c r="I59" s="79">
        <f t="shared" ref="I59" si="139">+SUM(I57:I58)</f>
        <v>-131.80000000000001</v>
      </c>
      <c r="J59" s="79">
        <f t="shared" ref="J59" si="140">+SUM(J57:J58)</f>
        <v>36.4</v>
      </c>
      <c r="K59" s="79">
        <f t="shared" ref="K59" si="141">+SUM(K57:K58)</f>
        <v>-34.799999999999997</v>
      </c>
      <c r="L59" s="132">
        <f t="shared" ref="L59" si="142">+SUM(L57:L58)</f>
        <v>88.000000000000014</v>
      </c>
      <c r="M59" s="80">
        <f>+SUM(M57:M58)</f>
        <v>-42.199999999999996</v>
      </c>
      <c r="N59" s="82"/>
      <c r="O59" s="79">
        <f t="shared" ref="O59" si="143">+SUM(O57:O58)</f>
        <v>-54.599999999999994</v>
      </c>
      <c r="P59" s="79">
        <f t="shared" ref="P59" si="144">+SUM(P57:P58)</f>
        <v>23.1</v>
      </c>
      <c r="Q59" s="79">
        <f t="shared" ref="Q59" si="145">+SUM(Q57:Q58)</f>
        <v>11</v>
      </c>
      <c r="R59" s="132">
        <f t="shared" ref="R59" si="146">+SUM(R57:R58)</f>
        <v>145.49999999999997</v>
      </c>
      <c r="S59" s="80">
        <f>+SUM(S57:S58)</f>
        <v>124.99999999999999</v>
      </c>
      <c r="U59" s="79">
        <f t="shared" ref="U59:X59" si="147">+SUM(U57:U58)</f>
        <v>-121.5</v>
      </c>
      <c r="V59" s="79">
        <f t="shared" si="147"/>
        <v>-11.8</v>
      </c>
      <c r="W59" s="79">
        <f t="shared" si="147"/>
        <v>158.70000000000002</v>
      </c>
      <c r="X59" s="79">
        <f t="shared" si="147"/>
        <v>110.89999999999999</v>
      </c>
      <c r="Y59" s="80">
        <f>+SUM(Y57:Y58)</f>
        <v>136.29999999999998</v>
      </c>
      <c r="AA59" s="79">
        <f t="shared" ref="AA59" si="148">+SUM(AA57:AA58)</f>
        <v>-22.3</v>
      </c>
      <c r="AB59" s="79">
        <f t="shared" ref="AB59:AD59" si="149">+SUM(AB57:AB58)</f>
        <v>-99.600000000000009</v>
      </c>
      <c r="AC59" s="79">
        <f t="shared" si="149"/>
        <v>145.79999999999998</v>
      </c>
      <c r="AD59" s="79">
        <f t="shared" si="149"/>
        <v>183.9</v>
      </c>
      <c r="AE59" s="80">
        <f>+SUM(AE57:AE58)</f>
        <v>207.79999999999998</v>
      </c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  <c r="AA60" s="87"/>
      <c r="AB60" s="87"/>
      <c r="AC60" s="87"/>
      <c r="AD60" s="243"/>
      <c r="AE60" s="88"/>
    </row>
    <row r="61" spans="1:144" s="162" customFormat="1" ht="12.75" customHeight="1" x14ac:dyDescent="0.2">
      <c r="A61" s="1" t="s">
        <v>198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  <c r="AA61" s="1"/>
      <c r="AB61" s="1"/>
      <c r="AC61" s="1"/>
      <c r="AD61" s="1"/>
      <c r="AE61" s="36"/>
    </row>
    <row r="62" spans="1:144" s="162" customFormat="1" ht="12.75" customHeight="1" x14ac:dyDescent="0.2">
      <c r="A62" s="3" t="s">
        <v>143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3">
        <v>-14.4</v>
      </c>
      <c r="X62" s="3">
        <v>-49.1</v>
      </c>
      <c r="Y62" s="75">
        <f>SUM(U62:X62)</f>
        <v>-90.800000000000011</v>
      </c>
      <c r="AA62" s="227">
        <v>-28.3</v>
      </c>
      <c r="AB62" s="227">
        <v>-52.4</v>
      </c>
      <c r="AC62" s="227">
        <v>-44.2</v>
      </c>
      <c r="AD62" s="227">
        <v>-88.4</v>
      </c>
      <c r="AE62" s="75">
        <f>SUM(AA62:AD62)</f>
        <v>-213.3</v>
      </c>
    </row>
    <row r="63" spans="1:144" s="162" customFormat="1" ht="12.75" customHeight="1" x14ac:dyDescent="0.2">
      <c r="A63" s="3" t="s">
        <v>142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0">
        <v>-4</v>
      </c>
      <c r="W63" s="270">
        <v>-3.5</v>
      </c>
      <c r="X63" s="270">
        <v>-4.7</v>
      </c>
      <c r="Y63" s="75">
        <f>SUM(U63:X63)</f>
        <v>-16.600000000000001</v>
      </c>
      <c r="AA63" s="210">
        <v>-3.4</v>
      </c>
      <c r="AB63" s="270">
        <v>-3.3</v>
      </c>
      <c r="AC63" s="270">
        <v>-3.1</v>
      </c>
      <c r="AD63" s="270">
        <v>-4.5</v>
      </c>
      <c r="AE63" s="75">
        <f>SUM(AA63:AD63)</f>
        <v>-14.299999999999999</v>
      </c>
    </row>
    <row r="64" spans="1:144" s="53" customFormat="1" ht="12.75" customHeight="1" x14ac:dyDescent="0.2">
      <c r="A64" s="48" t="s">
        <v>152</v>
      </c>
      <c r="C64" s="79">
        <f t="shared" ref="C64" si="150">+SUM(C62:C63)</f>
        <v>-13.5</v>
      </c>
      <c r="D64" s="79">
        <f t="shared" ref="D64" si="151">+SUM(D62:D63)</f>
        <v>-18.7</v>
      </c>
      <c r="E64" s="79">
        <f t="shared" ref="E64" si="152">+SUM(E62:E63)</f>
        <v>-14.4</v>
      </c>
      <c r="F64" s="132">
        <f t="shared" ref="F64" si="153">+SUM(F62:F63)</f>
        <v>-23.900000000000002</v>
      </c>
      <c r="G64" s="80">
        <f>+SUM(G62:G63)</f>
        <v>-70.5</v>
      </c>
      <c r="H64" s="82"/>
      <c r="I64" s="79">
        <f t="shared" ref="I64" si="154">+SUM(I62:I63)</f>
        <v>-9.6</v>
      </c>
      <c r="J64" s="79">
        <f t="shared" ref="J64" si="155">+SUM(J62:J63)</f>
        <v>-13.4</v>
      </c>
      <c r="K64" s="79">
        <f t="shared" ref="K64" si="156">+SUM(K62:K63)</f>
        <v>-11</v>
      </c>
      <c r="L64" s="132">
        <f t="shared" ref="L64" si="157">+SUM(L62:L63)</f>
        <v>-26.900000000000009</v>
      </c>
      <c r="M64" s="80">
        <f>+SUM(M62:M63)</f>
        <v>-60.900000000000006</v>
      </c>
      <c r="N64" s="82"/>
      <c r="O64" s="79">
        <f t="shared" ref="O64" si="158">+SUM(O62:O63)</f>
        <v>-9.6000000000000014</v>
      </c>
      <c r="P64" s="79">
        <f t="shared" ref="P64" si="159">+SUM(P62:P63)</f>
        <v>-20.9</v>
      </c>
      <c r="Q64" s="79">
        <f t="shared" ref="Q64" si="160">+SUM(Q62:Q63)</f>
        <v>-17.3</v>
      </c>
      <c r="R64" s="132">
        <f t="shared" ref="R64" si="161">+SUM(R62:R63)</f>
        <v>-21.200000000000003</v>
      </c>
      <c r="S64" s="80">
        <f>+SUM(S62:S63)</f>
        <v>-69</v>
      </c>
      <c r="U64" s="79">
        <f t="shared" ref="U64:X64" si="162">+SUM(U62:U63)</f>
        <v>-14.4</v>
      </c>
      <c r="V64" s="79">
        <f t="shared" si="162"/>
        <v>-21.3</v>
      </c>
      <c r="W64" s="79">
        <f t="shared" si="162"/>
        <v>-17.899999999999999</v>
      </c>
      <c r="X64" s="79">
        <f t="shared" si="162"/>
        <v>-53.800000000000004</v>
      </c>
      <c r="Y64" s="80">
        <f>+SUM(Y62:Y63)</f>
        <v>-107.4</v>
      </c>
      <c r="AA64" s="79">
        <f t="shared" ref="AA64" si="163">+SUM(AA62:AA63)</f>
        <v>-31.7</v>
      </c>
      <c r="AB64" s="79">
        <f t="shared" ref="AB64:AD64" si="164">+SUM(AB62:AB63)</f>
        <v>-55.699999999999996</v>
      </c>
      <c r="AC64" s="79">
        <f t="shared" si="164"/>
        <v>-47.300000000000004</v>
      </c>
      <c r="AD64" s="79">
        <f t="shared" si="164"/>
        <v>-92.9</v>
      </c>
      <c r="AE64" s="80">
        <f>+SUM(AE62:AE63)</f>
        <v>-227.60000000000002</v>
      </c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  <c r="AA65" s="87"/>
      <c r="AB65" s="87"/>
      <c r="AC65" s="87"/>
      <c r="AD65" s="243"/>
      <c r="AE65" s="88"/>
    </row>
    <row r="66" spans="1:144" s="162" customFormat="1" ht="12.75" customHeight="1" x14ac:dyDescent="0.2">
      <c r="A66" s="1" t="s">
        <v>199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  <c r="AA66" s="1"/>
      <c r="AB66" s="1"/>
      <c r="AC66" s="1"/>
      <c r="AD66" s="1"/>
      <c r="AE66" s="36"/>
    </row>
    <row r="67" spans="1:144" s="162" customFormat="1" ht="12.75" customHeight="1" x14ac:dyDescent="0.2">
      <c r="A67" s="3" t="s">
        <v>143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 t="shared" ref="V67:X68" si="165">+V57+V62</f>
        <v>-27.3</v>
      </c>
      <c r="W67" s="227">
        <f t="shared" si="165"/>
        <v>144.4</v>
      </c>
      <c r="X67" s="227">
        <f t="shared" si="165"/>
        <v>55.999999999999993</v>
      </c>
      <c r="Y67" s="75">
        <f>SUM(U67:X67)</f>
        <v>44.799999999999976</v>
      </c>
      <c r="AA67" s="227">
        <f t="shared" ref="AA67:AD67" si="166">+AA57+AA62</f>
        <v>-51</v>
      </c>
      <c r="AB67" s="227">
        <f t="shared" si="166"/>
        <v>-152.1</v>
      </c>
      <c r="AC67" s="227">
        <f t="shared" si="166"/>
        <v>105.39999999999999</v>
      </c>
      <c r="AD67" s="227">
        <f t="shared" si="166"/>
        <v>93.199999999999989</v>
      </c>
      <c r="AE67" s="75">
        <f>SUM(AA67:AD67)</f>
        <v>-4.5000000000000142</v>
      </c>
    </row>
    <row r="68" spans="1:144" s="162" customFormat="1" ht="12.75" customHeight="1" x14ac:dyDescent="0.2">
      <c r="A68" s="3" t="s">
        <v>142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 t="shared" si="165"/>
        <v>-5.8</v>
      </c>
      <c r="W68" s="227">
        <f t="shared" si="165"/>
        <v>-3.6</v>
      </c>
      <c r="X68" s="227">
        <f t="shared" si="165"/>
        <v>1.0999999999999996</v>
      </c>
      <c r="Y68" s="75">
        <f>SUM(U68:X68)</f>
        <v>-15.9</v>
      </c>
      <c r="AA68" s="227">
        <f t="shared" ref="AA68:AD68" si="167">+AA58+AA63</f>
        <v>-3</v>
      </c>
      <c r="AB68" s="227">
        <f t="shared" si="167"/>
        <v>-3.1999999999999997</v>
      </c>
      <c r="AC68" s="227">
        <f t="shared" si="167"/>
        <v>-6.9</v>
      </c>
      <c r="AD68" s="227">
        <f t="shared" si="167"/>
        <v>-2.2000000000000002</v>
      </c>
      <c r="AE68" s="75">
        <f>SUM(AA68:AD68)</f>
        <v>-15.3</v>
      </c>
    </row>
    <row r="69" spans="1:144" s="53" customFormat="1" ht="12.75" customHeight="1" x14ac:dyDescent="0.2">
      <c r="A69" s="48" t="s">
        <v>152</v>
      </c>
      <c r="C69" s="79">
        <f t="shared" ref="C69" si="168">+SUM(C67:C68)</f>
        <v>-35</v>
      </c>
      <c r="D69" s="79">
        <f t="shared" ref="D69" si="169">+SUM(D67:D68)</f>
        <v>-12.6</v>
      </c>
      <c r="E69" s="79">
        <f t="shared" ref="E69" si="170">+SUM(E67:E68)</f>
        <v>16.100000000000001</v>
      </c>
      <c r="F69" s="132">
        <f t="shared" ref="F69" si="171">+SUM(F67:F68)</f>
        <v>38.799999999999997</v>
      </c>
      <c r="G69" s="80">
        <f>+SUM(G67:G68)</f>
        <v>7.3000000000000025</v>
      </c>
      <c r="H69" s="82"/>
      <c r="I69" s="79">
        <f t="shared" ref="I69" si="172">+SUM(I67:I68)</f>
        <v>-141.4</v>
      </c>
      <c r="J69" s="79">
        <f t="shared" ref="J69" si="173">+SUM(J67:J68)</f>
        <v>23</v>
      </c>
      <c r="K69" s="79">
        <f t="shared" ref="K69" si="174">+SUM(K67:K68)</f>
        <v>-45.800000000000004</v>
      </c>
      <c r="L69" s="132">
        <f t="shared" ref="L69" si="175">+SUM(L67:L68)</f>
        <v>61.1</v>
      </c>
      <c r="M69" s="80">
        <f>+SUM(M67:M68)</f>
        <v>-103.10000000000001</v>
      </c>
      <c r="N69" s="82"/>
      <c r="O69" s="79">
        <f t="shared" ref="O69" si="176">+SUM(O67:O68)</f>
        <v>-64.2</v>
      </c>
      <c r="P69" s="79">
        <f t="shared" ref="P69" si="177">+SUM(P67:P68)</f>
        <v>2.2000000000000011</v>
      </c>
      <c r="Q69" s="79">
        <f t="shared" ref="Q69" si="178">+SUM(Q67:Q68)</f>
        <v>-6.2999999999999989</v>
      </c>
      <c r="R69" s="132">
        <f t="shared" ref="R69" si="179">+SUM(R67:R68)</f>
        <v>124.29999999999998</v>
      </c>
      <c r="S69" s="80">
        <f>+SUM(S67:S68)</f>
        <v>55.999999999999986</v>
      </c>
      <c r="U69" s="79">
        <f t="shared" ref="U69:V69" si="180">+SUM(U67:U68)</f>
        <v>-135.9</v>
      </c>
      <c r="V69" s="79">
        <f t="shared" si="180"/>
        <v>-33.1</v>
      </c>
      <c r="W69" s="79">
        <f>+SUM(W67:W68)</f>
        <v>140.80000000000001</v>
      </c>
      <c r="X69" s="79">
        <f>+SUM(X67:X68)</f>
        <v>57.099999999999994</v>
      </c>
      <c r="Y69" s="80">
        <f>+SUM(Y67:Y68)</f>
        <v>28.899999999999977</v>
      </c>
      <c r="AA69" s="79">
        <f t="shared" ref="AA69" si="181">+SUM(AA67:AA68)</f>
        <v>-54</v>
      </c>
      <c r="AB69" s="79">
        <f t="shared" ref="AB69:AD69" si="182">+SUM(AB67:AB68)</f>
        <v>-155.29999999999998</v>
      </c>
      <c r="AC69" s="79">
        <f t="shared" si="182"/>
        <v>98.499999999999986</v>
      </c>
      <c r="AD69" s="79">
        <f t="shared" si="182"/>
        <v>90.999999999999986</v>
      </c>
      <c r="AE69" s="80">
        <f>+SUM(AE67:AE68)</f>
        <v>-19.800000000000015</v>
      </c>
    </row>
    <row r="70" spans="1:144" s="1" customFormat="1" ht="12.75" customHeight="1" x14ac:dyDescent="0.2">
      <c r="B70" s="5"/>
      <c r="G70" s="36"/>
      <c r="M70" s="36"/>
      <c r="S70" s="36"/>
      <c r="Y70" s="36"/>
      <c r="AE70" s="36"/>
      <c r="EN70" s="4"/>
    </row>
    <row r="71" spans="1:144" s="1" customFormat="1" ht="12.75" customHeight="1" x14ac:dyDescent="0.2">
      <c r="A71" s="1" t="s">
        <v>190</v>
      </c>
      <c r="B71" s="5"/>
      <c r="G71" s="36"/>
      <c r="M71" s="36"/>
      <c r="S71" s="36"/>
      <c r="Y71" s="36"/>
      <c r="AE71" s="36"/>
      <c r="EN71" s="4"/>
    </row>
    <row r="72" spans="1:144" s="1" customFormat="1" ht="12.75" customHeight="1" x14ac:dyDescent="0.2">
      <c r="A72" s="3" t="s">
        <v>182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>
        <v>-196.8</v>
      </c>
      <c r="Y72" s="75">
        <v>-196.8</v>
      </c>
      <c r="AA72" s="31">
        <v>-111.3</v>
      </c>
      <c r="AB72" s="31">
        <v>5.4</v>
      </c>
      <c r="AC72" s="31">
        <v>-81.5</v>
      </c>
      <c r="AD72" s="122">
        <v>-152.80000000000001</v>
      </c>
      <c r="AE72" s="75">
        <f>+AD72</f>
        <v>-152.80000000000001</v>
      </c>
      <c r="EN72" s="4"/>
    </row>
    <row r="73" spans="1:144" ht="12.75" customHeight="1" x14ac:dyDescent="0.2">
      <c r="A73" s="2" t="s">
        <v>183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183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184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185">+R73</f>
        <v>17.5</v>
      </c>
      <c r="U73" s="31">
        <v>76</v>
      </c>
      <c r="V73" s="31">
        <v>67.7</v>
      </c>
      <c r="W73" s="31">
        <v>57.9</v>
      </c>
      <c r="X73" s="122">
        <v>40.200000000000003</v>
      </c>
      <c r="Y73" s="75">
        <v>40.200000000000003</v>
      </c>
      <c r="AA73" s="31">
        <v>65.5</v>
      </c>
      <c r="AB73" s="31">
        <v>108.9</v>
      </c>
      <c r="AC73" s="31">
        <v>98.8</v>
      </c>
      <c r="AD73" s="122">
        <v>64.3</v>
      </c>
      <c r="AE73" s="75">
        <f t="shared" ref="AE73:AE79" si="186">+AD73</f>
        <v>64.3</v>
      </c>
    </row>
    <row r="74" spans="1:144" ht="12.75" customHeight="1" x14ac:dyDescent="0.2">
      <c r="A74" s="2" t="s">
        <v>184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183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184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185"/>
        <v>10.4</v>
      </c>
      <c r="U74" s="31">
        <v>9.3000000000000007</v>
      </c>
      <c r="V74" s="31">
        <v>9.9</v>
      </c>
      <c r="W74" s="31">
        <v>14.5</v>
      </c>
      <c r="X74" s="122">
        <v>13.2</v>
      </c>
      <c r="Y74" s="75">
        <v>13.2</v>
      </c>
      <c r="AA74" s="31">
        <v>3.3</v>
      </c>
      <c r="AB74" s="31">
        <v>15</v>
      </c>
      <c r="AC74" s="31">
        <v>15.8</v>
      </c>
      <c r="AD74" s="122">
        <v>22.6</v>
      </c>
      <c r="AE74" s="75">
        <f t="shared" si="186"/>
        <v>22.6</v>
      </c>
    </row>
    <row r="75" spans="1:144" ht="12.75" customHeight="1" x14ac:dyDescent="0.2">
      <c r="A75" s="47" t="s">
        <v>191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183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184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185"/>
        <v>-7.1</v>
      </c>
      <c r="U75" s="77">
        <v>-14.1</v>
      </c>
      <c r="V75" s="77">
        <v>-12.199999999999998</v>
      </c>
      <c r="W75" s="77">
        <v>-8.6999999999999993</v>
      </c>
      <c r="X75" s="238">
        <v>-21.1</v>
      </c>
      <c r="Y75" s="78">
        <v>-21.1</v>
      </c>
      <c r="AA75" s="77">
        <v>-22.7</v>
      </c>
      <c r="AB75" s="77">
        <v>-16.5</v>
      </c>
      <c r="AC75" s="77">
        <v>-26.5</v>
      </c>
      <c r="AD75" s="238">
        <v>-27.3</v>
      </c>
      <c r="AE75" s="78">
        <f t="shared" si="186"/>
        <v>-27.3</v>
      </c>
    </row>
    <row r="76" spans="1:144" s="53" customFormat="1" ht="12.75" customHeight="1" x14ac:dyDescent="0.2">
      <c r="A76" s="48" t="s">
        <v>143</v>
      </c>
      <c r="C76" s="79">
        <f>+SUM(C72:C75)</f>
        <v>-35.200000000000003</v>
      </c>
      <c r="D76" s="79">
        <f t="shared" ref="D76" si="187">+SUM(D72:D75)</f>
        <v>-30.6</v>
      </c>
      <c r="E76" s="79">
        <f t="shared" ref="E76" si="188">+SUM(E72:E75)</f>
        <v>-37.599999999999994</v>
      </c>
      <c r="F76" s="132">
        <f t="shared" ref="F76" si="189">+SUM(F72:F75)</f>
        <v>-106.5</v>
      </c>
      <c r="G76" s="80">
        <f t="shared" si="183"/>
        <v>-106.5</v>
      </c>
      <c r="H76" s="82"/>
      <c r="I76" s="79">
        <f>+SUM(I72:I75)</f>
        <v>28.699999999999996</v>
      </c>
      <c r="J76" s="79">
        <f t="shared" ref="J76" si="190">+SUM(J72:J75)</f>
        <v>14.799999999999995</v>
      </c>
      <c r="K76" s="79">
        <f t="shared" ref="K76" si="191">+SUM(K72:K75)</f>
        <v>61.2</v>
      </c>
      <c r="L76" s="132">
        <f t="shared" ref="L76" si="192">+SUM(L72:L75)</f>
        <v>-16.200000000000003</v>
      </c>
      <c r="M76" s="80">
        <f t="shared" si="184"/>
        <v>-16.200000000000003</v>
      </c>
      <c r="N76" s="82"/>
      <c r="O76" s="79">
        <f>+SUM(O72:O75)</f>
        <v>24.799999999999994</v>
      </c>
      <c r="P76" s="79">
        <f t="shared" ref="P76" si="193">+SUM(P72:P75)</f>
        <v>4.0000000000000036</v>
      </c>
      <c r="Q76" s="79">
        <f t="shared" ref="Q76" si="194">+SUM(Q72:Q75)</f>
        <v>-4.6999999999999904</v>
      </c>
      <c r="R76" s="132">
        <f t="shared" ref="R76" si="195">+SUM(R72:R75)</f>
        <v>-146.29999999999998</v>
      </c>
      <c r="S76" s="80">
        <f t="shared" si="185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79">
        <f>+SUM(X72:X75)</f>
        <v>-164.50000000000003</v>
      </c>
      <c r="Y76" s="80">
        <f>+SUM(Y72:Y75)</f>
        <v>-164.50000000000003</v>
      </c>
      <c r="AA76" s="79">
        <f>+SUM(AA72:AA75)</f>
        <v>-65.2</v>
      </c>
      <c r="AB76" s="79">
        <f t="shared" ref="AB76:AD76" si="196">+SUM(AB72:AB75)</f>
        <v>112.80000000000001</v>
      </c>
      <c r="AC76" s="79">
        <f t="shared" si="196"/>
        <v>6.5999999999999943</v>
      </c>
      <c r="AD76" s="79">
        <f t="shared" si="196"/>
        <v>-93.2</v>
      </c>
      <c r="AE76" s="80">
        <f t="shared" si="186"/>
        <v>-93.2</v>
      </c>
    </row>
    <row r="77" spans="1:144" ht="12.75" customHeight="1" x14ac:dyDescent="0.2">
      <c r="A77" s="2" t="s">
        <v>142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183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184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185"/>
        <v>28.2</v>
      </c>
      <c r="U77" s="31">
        <v>29.3</v>
      </c>
      <c r="V77" s="31">
        <v>30.8</v>
      </c>
      <c r="W77" s="31">
        <v>30.9</v>
      </c>
      <c r="X77" s="122">
        <v>27.4</v>
      </c>
      <c r="Y77" s="75">
        <v>27.4</v>
      </c>
      <c r="AA77" s="31">
        <v>26.3</v>
      </c>
      <c r="AB77" s="31">
        <v>25.8</v>
      </c>
      <c r="AC77" s="31">
        <v>31.8</v>
      </c>
      <c r="AD77" s="122">
        <v>33.6</v>
      </c>
      <c r="AE77" s="75">
        <f t="shared" si="186"/>
        <v>33.6</v>
      </c>
    </row>
    <row r="78" spans="1:144" ht="12.75" customHeight="1" x14ac:dyDescent="0.2">
      <c r="A78" s="2" t="s">
        <v>191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183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184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185"/>
        <v>0</v>
      </c>
      <c r="U78" s="31">
        <v>0</v>
      </c>
      <c r="V78" s="31">
        <v>0</v>
      </c>
      <c r="W78" s="31">
        <v>0</v>
      </c>
      <c r="X78" s="122">
        <v>0</v>
      </c>
      <c r="Y78" s="75">
        <v>0</v>
      </c>
      <c r="AA78" s="31">
        <v>0</v>
      </c>
      <c r="AB78" s="31">
        <v>0</v>
      </c>
      <c r="AC78" s="31">
        <v>0</v>
      </c>
      <c r="AD78" s="122">
        <v>0</v>
      </c>
      <c r="AE78" s="75">
        <f t="shared" si="186"/>
        <v>0</v>
      </c>
    </row>
    <row r="79" spans="1:144" s="53" customFormat="1" ht="12.75" customHeight="1" x14ac:dyDescent="0.2">
      <c r="A79" s="48" t="s">
        <v>152</v>
      </c>
      <c r="C79" s="79">
        <f>+SUM(C76:C78)</f>
        <v>-23.000000000000004</v>
      </c>
      <c r="D79" s="79">
        <f t="shared" ref="D79:X79" si="197">+SUM(D76:D78)</f>
        <v>-14.400000000000002</v>
      </c>
      <c r="E79" s="79">
        <f t="shared" si="197"/>
        <v>-20.599999999999994</v>
      </c>
      <c r="F79" s="132">
        <f t="shared" si="197"/>
        <v>-83.5</v>
      </c>
      <c r="G79" s="80">
        <f t="shared" si="197"/>
        <v>-83.5</v>
      </c>
      <c r="H79" s="82"/>
      <c r="I79" s="79">
        <f t="shared" si="197"/>
        <v>48.3</v>
      </c>
      <c r="J79" s="79">
        <f t="shared" si="197"/>
        <v>37.299999999999997</v>
      </c>
      <c r="K79" s="79">
        <f t="shared" si="197"/>
        <v>82.1</v>
      </c>
      <c r="L79" s="132">
        <f t="shared" si="197"/>
        <v>7.6999999999999975</v>
      </c>
      <c r="M79" s="80">
        <f t="shared" si="197"/>
        <v>7.6999999999999975</v>
      </c>
      <c r="N79" s="82"/>
      <c r="O79" s="79">
        <f t="shared" si="197"/>
        <v>51.399999999999991</v>
      </c>
      <c r="P79" s="79">
        <f t="shared" si="197"/>
        <v>30.900000000000002</v>
      </c>
      <c r="Q79" s="79">
        <f t="shared" si="197"/>
        <v>23.100000000000009</v>
      </c>
      <c r="R79" s="132">
        <f t="shared" si="197"/>
        <v>-118.09999999999998</v>
      </c>
      <c r="S79" s="80">
        <f t="shared" si="197"/>
        <v>-118.09999999999998</v>
      </c>
      <c r="U79" s="79">
        <f t="shared" si="197"/>
        <v>-30.000000000000004</v>
      </c>
      <c r="V79" s="79">
        <f t="shared" si="197"/>
        <v>33.700000000000003</v>
      </c>
      <c r="W79" s="79">
        <f t="shared" si="197"/>
        <v>-99.499999999999972</v>
      </c>
      <c r="X79" s="132">
        <f t="shared" si="197"/>
        <v>-137.10000000000002</v>
      </c>
      <c r="Y79" s="80">
        <f t="shared" ref="Y79" si="198">+SUM(Y76:Y78)</f>
        <v>-137.10000000000002</v>
      </c>
      <c r="AA79" s="79">
        <f t="shared" ref="AA79" si="199">+SUM(AA76:AA78)</f>
        <v>-38.900000000000006</v>
      </c>
      <c r="AB79" s="79">
        <f t="shared" ref="AB79:AD79" si="200">+SUM(AB76:AB78)</f>
        <v>138.60000000000002</v>
      </c>
      <c r="AC79" s="79">
        <f t="shared" si="200"/>
        <v>38.399999999999991</v>
      </c>
      <c r="AD79" s="132">
        <f t="shared" si="200"/>
        <v>-59.6</v>
      </c>
      <c r="AE79" s="80">
        <f t="shared" si="186"/>
        <v>-59.6</v>
      </c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  <c r="AA80" s="31"/>
      <c r="AB80" s="31"/>
      <c r="AC80" s="31"/>
      <c r="AD80" s="122"/>
      <c r="AE80" s="75"/>
    </row>
    <row r="81" spans="1:31" ht="12.75" customHeight="1" x14ac:dyDescent="0.2">
      <c r="A81" s="1" t="s">
        <v>196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  <c r="AA81" s="1"/>
      <c r="AB81" s="1"/>
      <c r="AC81" s="1"/>
      <c r="AD81" s="1"/>
      <c r="AE81" s="36"/>
    </row>
    <row r="82" spans="1:31" ht="12.75" customHeight="1" x14ac:dyDescent="0.2">
      <c r="A82" s="3" t="s">
        <v>182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>
        <v>0.06</v>
      </c>
      <c r="Y82" s="271">
        <v>0.26</v>
      </c>
      <c r="AA82" s="10">
        <v>0.27</v>
      </c>
      <c r="AB82" s="10">
        <v>0.19</v>
      </c>
      <c r="AC82" s="10">
        <v>0.05</v>
      </c>
      <c r="AD82" s="10">
        <v>-0.1</v>
      </c>
      <c r="AE82" s="271">
        <v>0.09</v>
      </c>
    </row>
    <row r="83" spans="1:31" ht="12.75" customHeight="1" x14ac:dyDescent="0.2">
      <c r="A83" s="2" t="s">
        <v>183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>
        <v>-0.08</v>
      </c>
      <c r="Y83" s="271">
        <v>0.03</v>
      </c>
      <c r="AA83" s="10">
        <v>0.02</v>
      </c>
      <c r="AB83" s="10">
        <v>0.06</v>
      </c>
      <c r="AC83" s="10">
        <v>0.15</v>
      </c>
      <c r="AD83" s="10">
        <v>0.33</v>
      </c>
      <c r="AE83" s="271">
        <v>0.13</v>
      </c>
    </row>
    <row r="84" spans="1:31" ht="12.75" customHeight="1" x14ac:dyDescent="0.2">
      <c r="A84" s="2" t="s">
        <v>184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>
        <v>0.11</v>
      </c>
      <c r="Y84" s="271">
        <v>0.15</v>
      </c>
      <c r="AA84" s="10">
        <v>0.82</v>
      </c>
      <c r="AB84" s="10">
        <v>0.9</v>
      </c>
      <c r="AC84" s="10">
        <v>0.18</v>
      </c>
      <c r="AD84" s="10">
        <v>0.17</v>
      </c>
      <c r="AE84" s="271">
        <v>0.48</v>
      </c>
    </row>
    <row r="85" spans="1:31" s="53" customFormat="1" ht="12.75" customHeight="1" x14ac:dyDescent="0.2">
      <c r="A85" s="48" t="s">
        <v>143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>
        <v>0.01</v>
      </c>
      <c r="Y85" s="272">
        <v>0.15</v>
      </c>
      <c r="AA85" s="251">
        <v>0.21</v>
      </c>
      <c r="AB85" s="251">
        <v>0.21</v>
      </c>
      <c r="AC85" s="251">
        <v>0.1</v>
      </c>
      <c r="AD85" s="251">
        <v>7.0000000000000007E-2</v>
      </c>
      <c r="AE85" s="272">
        <v>0.15</v>
      </c>
    </row>
    <row r="86" spans="1:31" s="236" customFormat="1" ht="12.75" customHeight="1" x14ac:dyDescent="0.2">
      <c r="A86" s="26" t="s">
        <v>142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>
        <v>0.03</v>
      </c>
      <c r="Y86" s="273">
        <v>-0.06</v>
      </c>
      <c r="AA86" s="254">
        <v>0.26</v>
      </c>
      <c r="AB86" s="254">
        <v>0.28000000000000003</v>
      </c>
      <c r="AC86" s="254">
        <v>0.1</v>
      </c>
      <c r="AD86" s="254">
        <v>0.06</v>
      </c>
      <c r="AE86" s="273">
        <v>0.15</v>
      </c>
    </row>
    <row r="87" spans="1:31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  <c r="AA87" s="31"/>
      <c r="AB87" s="31"/>
      <c r="AC87" s="31"/>
      <c r="AD87" s="122"/>
      <c r="AE87" s="75"/>
    </row>
    <row r="88" spans="1:31" s="162" customFormat="1" ht="12.75" customHeight="1" x14ac:dyDescent="0.2">
      <c r="A88" s="27" t="s">
        <v>30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  <c r="AA88" s="127"/>
      <c r="AB88" s="138"/>
      <c r="AC88" s="138"/>
      <c r="AD88" s="127"/>
      <c r="AE88" s="139"/>
    </row>
    <row r="89" spans="1:31" s="162" customFormat="1" ht="12.75" customHeight="1" x14ac:dyDescent="0.2">
      <c r="A89" s="3" t="s">
        <v>143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>
        <v>939.8</v>
      </c>
      <c r="Y89" s="75">
        <v>939.8</v>
      </c>
      <c r="AA89" s="227">
        <v>0</v>
      </c>
      <c r="AB89" s="227">
        <v>1238.4000000000001</v>
      </c>
      <c r="AC89" s="227">
        <v>1109.4000000000001</v>
      </c>
      <c r="AD89" s="227">
        <v>1052.5999999999999</v>
      </c>
      <c r="AE89" s="75">
        <f>+AD89</f>
        <v>1052.5999999999999</v>
      </c>
    </row>
    <row r="90" spans="1:31" ht="12.75" customHeight="1" x14ac:dyDescent="0.2">
      <c r="A90" s="3" t="s">
        <v>142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>
        <v>110.7</v>
      </c>
      <c r="Y90" s="75">
        <v>110.7</v>
      </c>
      <c r="AA90" s="203">
        <v>0</v>
      </c>
      <c r="AB90" s="203">
        <v>109.7</v>
      </c>
      <c r="AC90" s="203">
        <v>116.6</v>
      </c>
      <c r="AD90" s="203">
        <v>120.5</v>
      </c>
      <c r="AE90" s="75">
        <f>+AD90</f>
        <v>120.5</v>
      </c>
    </row>
    <row r="91" spans="1:31" s="53" customFormat="1" ht="12.75" customHeight="1" x14ac:dyDescent="0.2">
      <c r="A91" s="48" t="s">
        <v>152</v>
      </c>
      <c r="C91" s="79">
        <f t="shared" ref="C91" si="201">+SUM(C89:C90)</f>
        <v>1053</v>
      </c>
      <c r="D91" s="79">
        <f t="shared" ref="D91" si="202">+SUM(D89:D90)</f>
        <v>1189.2</v>
      </c>
      <c r="E91" s="79">
        <f t="shared" ref="E91" si="203">+SUM(E89:E90)</f>
        <v>1183.3</v>
      </c>
      <c r="F91" s="132">
        <f t="shared" ref="F91" si="204">+SUM(F89:F90)</f>
        <v>1109.5</v>
      </c>
      <c r="G91" s="80">
        <f>+SUM(G89:G90)</f>
        <v>1109.5</v>
      </c>
      <c r="H91" s="82"/>
      <c r="I91" s="79">
        <f t="shared" ref="I91" si="205">+SUM(I89:I90)</f>
        <v>1207.5999999999999</v>
      </c>
      <c r="J91" s="79">
        <f t="shared" ref="J91" si="206">+SUM(J89:J90)</f>
        <v>1176.7</v>
      </c>
      <c r="K91" s="79">
        <f t="shared" ref="K91" si="207">+SUM(K89:K90)</f>
        <v>1232</v>
      </c>
      <c r="L91" s="132">
        <f t="shared" ref="L91" si="208">+SUM(L89:L90)</f>
        <v>1143.8999999999999</v>
      </c>
      <c r="M91" s="80">
        <f>+SUM(M89:M90)</f>
        <v>1143.8999999999999</v>
      </c>
      <c r="N91" s="82"/>
      <c r="O91" s="79">
        <f t="shared" ref="O91" si="209">+SUM(O89:O90)</f>
        <v>1207.2</v>
      </c>
      <c r="P91" s="79">
        <f t="shared" ref="P91" si="210">+SUM(P89:P90)</f>
        <v>1180.2</v>
      </c>
      <c r="Q91" s="79">
        <f t="shared" ref="Q91" si="211">+SUM(Q89:Q90)</f>
        <v>1156.2</v>
      </c>
      <c r="R91" s="132">
        <f t="shared" ref="R91" si="212">+SUM(R89:R90)</f>
        <v>1046</v>
      </c>
      <c r="S91" s="80">
        <f>+SUM(S89:S90)</f>
        <v>1046</v>
      </c>
      <c r="U91" s="79">
        <f t="shared" ref="U91:Y91" si="213">+SUM(U89:U90)</f>
        <v>1102</v>
      </c>
      <c r="V91" s="79">
        <f t="shared" si="213"/>
        <v>1186</v>
      </c>
      <c r="W91" s="79">
        <f t="shared" si="213"/>
        <v>1047.5</v>
      </c>
      <c r="X91" s="132">
        <f t="shared" si="213"/>
        <v>1050.5</v>
      </c>
      <c r="Y91" s="80">
        <f t="shared" si="213"/>
        <v>1050.5</v>
      </c>
      <c r="AA91" s="79">
        <f t="shared" ref="AA91" si="214">+SUM(AA89:AA90)</f>
        <v>0</v>
      </c>
      <c r="AB91" s="79">
        <f t="shared" ref="AB91:AD91" si="215">+SUM(AB89:AB90)</f>
        <v>1348.1000000000001</v>
      </c>
      <c r="AC91" s="79">
        <f t="shared" si="215"/>
        <v>1226</v>
      </c>
      <c r="AD91" s="132">
        <f t="shared" si="215"/>
        <v>1173.0999999999999</v>
      </c>
      <c r="AE91" s="80">
        <f>+SUM(AE89:AE90)</f>
        <v>1173.0999999999999</v>
      </c>
    </row>
    <row r="92" spans="1:31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  <c r="AA92" s="4"/>
      <c r="AB92" s="4"/>
      <c r="AC92" s="4"/>
      <c r="AD92" s="4"/>
      <c r="AE92" s="174"/>
    </row>
    <row r="93" spans="1:31" s="162" customFormat="1" ht="12.75" customHeight="1" x14ac:dyDescent="0.2">
      <c r="A93" s="27" t="s">
        <v>192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9"/>
      <c r="AB93" s="29"/>
      <c r="AC93" s="29"/>
      <c r="AD93" s="29"/>
      <c r="AE93" s="64"/>
    </row>
    <row r="94" spans="1:31" s="162" customFormat="1" ht="12.75" customHeight="1" x14ac:dyDescent="0.2">
      <c r="A94" s="3" t="s">
        <v>143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>
        <v>-2.9000000000000001E-2</v>
      </c>
      <c r="Y94" s="64">
        <v>-2.9000000000000001E-2</v>
      </c>
      <c r="Z94" s="5"/>
      <c r="AA94" s="240">
        <v>-8.9999999999999993E-3</v>
      </c>
      <c r="AB94" s="240">
        <v>1.4999999999999999E-2</v>
      </c>
      <c r="AC94" s="240">
        <v>3.4000000000000002E-2</v>
      </c>
      <c r="AD94" s="240">
        <v>3.4000000000000002E-2</v>
      </c>
      <c r="AE94" s="64">
        <v>3.4000000000000002E-2</v>
      </c>
    </row>
    <row r="95" spans="1:31" s="162" customFormat="1" ht="12.75" customHeight="1" x14ac:dyDescent="0.2">
      <c r="A95" s="163" t="s">
        <v>142</v>
      </c>
      <c r="B95" s="27"/>
      <c r="C95" s="260" t="s">
        <v>135</v>
      </c>
      <c r="D95" s="260" t="s">
        <v>135</v>
      </c>
      <c r="E95" s="260" t="s">
        <v>135</v>
      </c>
      <c r="F95" s="240">
        <v>-3.1E-2</v>
      </c>
      <c r="G95" s="64">
        <v>-3.1E-2</v>
      </c>
      <c r="H95" s="5"/>
      <c r="I95" s="260" t="s">
        <v>135</v>
      </c>
      <c r="J95" s="260" t="s">
        <v>135</v>
      </c>
      <c r="K95" s="260" t="s">
        <v>135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>
        <v>-8.7999999999999995E-2</v>
      </c>
      <c r="Y95" s="64">
        <v>-8.7999999999999995E-2</v>
      </c>
      <c r="Z95" s="5"/>
      <c r="AA95" s="240">
        <v>-0.09</v>
      </c>
      <c r="AB95" s="240">
        <v>-8.6999999999999994E-2</v>
      </c>
      <c r="AC95" s="240">
        <v>-6.9000000000000006E-2</v>
      </c>
      <c r="AD95" s="240">
        <v>-6.2E-2</v>
      </c>
      <c r="AE95" s="64">
        <v>-6.2E-2</v>
      </c>
    </row>
    <row r="96" spans="1:31" s="45" customFormat="1" ht="12.75" customHeight="1" x14ac:dyDescent="0.2">
      <c r="A96" s="42" t="s">
        <v>152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>
        <v>-3.5000000000000003E-2</v>
      </c>
      <c r="Y96" s="245">
        <v>-3.5000000000000003E-2</v>
      </c>
      <c r="Z96" s="42"/>
      <c r="AA96" s="244">
        <v>-1.7000000000000001E-2</v>
      </c>
      <c r="AB96" s="244">
        <v>5.0000000000000001E-3</v>
      </c>
      <c r="AC96" s="244">
        <v>2.4E-2</v>
      </c>
      <c r="AD96" s="244">
        <v>2.5000000000000001E-2</v>
      </c>
      <c r="AE96" s="245">
        <v>2.5000000000000001E-2</v>
      </c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  <c r="AA97" s="4"/>
      <c r="AB97" s="4"/>
      <c r="AC97" s="4"/>
      <c r="AD97" s="4"/>
      <c r="AE97" s="174"/>
    </row>
    <row r="98" spans="1:144" s="27" customFormat="1" ht="12.75" customHeight="1" x14ac:dyDescent="0.2">
      <c r="A98" s="27" t="s">
        <v>197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  <c r="AA98" s="29"/>
      <c r="AB98" s="29"/>
      <c r="AC98" s="29"/>
      <c r="AD98" s="29"/>
      <c r="AE98" s="64"/>
    </row>
    <row r="99" spans="1:144" s="5" customFormat="1" ht="12.75" customHeight="1" x14ac:dyDescent="0.2">
      <c r="A99" s="3" t="s">
        <v>143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>
        <v>3469</v>
      </c>
      <c r="Y99" s="262">
        <v>3469</v>
      </c>
      <c r="AA99" s="274"/>
      <c r="AB99" s="274"/>
      <c r="AC99" s="274"/>
      <c r="AD99" s="274"/>
      <c r="AE99" s="275"/>
      <c r="EN99" s="27"/>
    </row>
    <row r="100" spans="1:144" s="42" customFormat="1" ht="12.75" customHeight="1" x14ac:dyDescent="0.2">
      <c r="A100" s="46" t="s">
        <v>142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>
        <v>417</v>
      </c>
      <c r="Y100" s="266">
        <v>417</v>
      </c>
      <c r="AA100" s="276"/>
      <c r="AB100" s="276"/>
      <c r="AC100" s="276"/>
      <c r="AD100" s="276"/>
      <c r="AE100" s="277"/>
    </row>
    <row r="101" spans="1:144" s="27" customFormat="1" ht="12.75" customHeight="1" x14ac:dyDescent="0.2">
      <c r="G101" s="64"/>
      <c r="M101" s="64"/>
      <c r="S101" s="64"/>
      <c r="Y101" s="64"/>
    </row>
    <row r="102" spans="1:144" s="27" customFormat="1" ht="12.75" customHeight="1" x14ac:dyDescent="0.2">
      <c r="A102" s="27" t="s">
        <v>201</v>
      </c>
      <c r="C102" s="29"/>
      <c r="D102" s="29"/>
      <c r="E102" s="29"/>
      <c r="F102" s="29"/>
      <c r="G102" s="64"/>
      <c r="I102" s="29"/>
      <c r="J102" s="29"/>
      <c r="K102" s="29"/>
      <c r="L102" s="29"/>
      <c r="M102" s="64"/>
      <c r="O102" s="29"/>
      <c r="P102" s="29"/>
      <c r="Q102" s="29"/>
      <c r="R102" s="29"/>
      <c r="S102" s="64"/>
      <c r="U102" s="29"/>
      <c r="V102" s="29"/>
      <c r="W102" s="29"/>
      <c r="X102" s="29"/>
      <c r="Y102" s="64"/>
      <c r="AA102" s="29"/>
      <c r="AB102" s="29"/>
      <c r="AC102" s="29"/>
      <c r="AD102" s="29"/>
      <c r="AE102" s="64"/>
    </row>
    <row r="103" spans="1:144" s="27" customFormat="1" ht="12.75" customHeight="1" x14ac:dyDescent="0.2">
      <c r="A103" s="3" t="s">
        <v>143</v>
      </c>
      <c r="B103" s="5"/>
      <c r="C103" s="274"/>
      <c r="D103" s="274"/>
      <c r="E103" s="274"/>
      <c r="F103" s="274"/>
      <c r="G103" s="275"/>
      <c r="H103" s="278"/>
      <c r="I103" s="274"/>
      <c r="J103" s="274"/>
      <c r="K103" s="274"/>
      <c r="L103" s="274"/>
      <c r="M103" s="275"/>
      <c r="N103" s="278"/>
      <c r="O103" s="274"/>
      <c r="P103" s="274"/>
      <c r="Q103" s="274"/>
      <c r="R103" s="274"/>
      <c r="S103" s="275"/>
      <c r="T103" s="263"/>
      <c r="U103" s="261">
        <v>3340</v>
      </c>
      <c r="V103" s="261">
        <v>3357</v>
      </c>
      <c r="W103" s="261">
        <v>3397</v>
      </c>
      <c r="X103" s="261">
        <v>3467</v>
      </c>
      <c r="Y103" s="262">
        <v>3390</v>
      </c>
      <c r="Z103" s="5"/>
      <c r="AA103" s="261">
        <v>3571</v>
      </c>
      <c r="AB103" s="261">
        <v>3729</v>
      </c>
      <c r="AC103" s="261">
        <v>3876</v>
      </c>
      <c r="AD103" s="261">
        <v>3926</v>
      </c>
      <c r="AE103" s="262">
        <v>3775</v>
      </c>
    </row>
    <row r="104" spans="1:144" s="27" customFormat="1" ht="12.75" customHeight="1" x14ac:dyDescent="0.2">
      <c r="A104" s="46" t="s">
        <v>142</v>
      </c>
      <c r="B104" s="42"/>
      <c r="C104" s="276"/>
      <c r="D104" s="276"/>
      <c r="E104" s="276"/>
      <c r="F104" s="276"/>
      <c r="G104" s="277"/>
      <c r="H104" s="279"/>
      <c r="I104" s="276"/>
      <c r="J104" s="276"/>
      <c r="K104" s="276"/>
      <c r="L104" s="276"/>
      <c r="M104" s="277"/>
      <c r="N104" s="279"/>
      <c r="O104" s="276"/>
      <c r="P104" s="276"/>
      <c r="Q104" s="276"/>
      <c r="R104" s="276"/>
      <c r="S104" s="277"/>
      <c r="T104" s="267"/>
      <c r="U104" s="265">
        <v>409</v>
      </c>
      <c r="V104" s="265">
        <v>407</v>
      </c>
      <c r="W104" s="265">
        <v>405</v>
      </c>
      <c r="X104" s="265">
        <v>418</v>
      </c>
      <c r="Y104" s="266">
        <v>410</v>
      </c>
      <c r="Z104" s="42"/>
      <c r="AA104" s="265">
        <v>401</v>
      </c>
      <c r="AB104" s="265">
        <v>391</v>
      </c>
      <c r="AC104" s="265">
        <v>392</v>
      </c>
      <c r="AD104" s="265">
        <v>419</v>
      </c>
      <c r="AE104" s="266">
        <v>401</v>
      </c>
    </row>
    <row r="105" spans="1:144" s="27" customFormat="1" ht="12.75" customHeight="1" x14ac:dyDescent="0.2"/>
    <row r="106" spans="1:144" ht="12.75" customHeight="1" x14ac:dyDescent="0.2">
      <c r="A106" s="241" t="s">
        <v>194</v>
      </c>
      <c r="C106" s="147"/>
      <c r="I106" s="147"/>
      <c r="O106" s="147"/>
      <c r="U106" s="147"/>
      <c r="AA106" s="147"/>
    </row>
    <row r="107" spans="1:144" ht="12.75" customHeight="1" x14ac:dyDescent="0.2">
      <c r="A107" s="148" t="s">
        <v>193</v>
      </c>
      <c r="C107" s="154"/>
      <c r="D107" s="7"/>
      <c r="I107" s="154"/>
      <c r="J107" s="7"/>
      <c r="L107" s="85"/>
      <c r="O107" s="154"/>
      <c r="P107" s="7"/>
      <c r="R107" s="85"/>
      <c r="U107" s="154"/>
      <c r="V107" s="7"/>
      <c r="X107" s="85"/>
      <c r="AA107" s="154"/>
      <c r="AB107" s="7"/>
      <c r="AD107" s="85"/>
    </row>
    <row r="108" spans="1:144" ht="12.75" customHeight="1" x14ac:dyDescent="0.2">
      <c r="C108" s="7"/>
      <c r="G108" s="145"/>
      <c r="I108" s="7"/>
      <c r="L108" s="85"/>
      <c r="M108" s="145"/>
      <c r="O108" s="7"/>
      <c r="R108" s="85"/>
      <c r="S108" s="145"/>
      <c r="U108" s="7"/>
      <c r="X108" s="85"/>
      <c r="Y108" s="145"/>
      <c r="AA108" s="7"/>
      <c r="AD108" s="85"/>
      <c r="AE108" s="145"/>
    </row>
  </sheetData>
  <mergeCells count="8">
    <mergeCell ref="C1:G1"/>
    <mergeCell ref="I1:M1"/>
    <mergeCell ref="O1:S1"/>
    <mergeCell ref="AA2:AE2"/>
    <mergeCell ref="I2:M2"/>
    <mergeCell ref="O2:S2"/>
    <mergeCell ref="U2:Y2"/>
    <mergeCell ref="C2:G2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C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4" sqref="C4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284"/>
      <c r="D1" s="284"/>
      <c r="E1" s="284"/>
      <c r="F1" s="284"/>
      <c r="G1" s="284"/>
      <c r="I1" s="284"/>
      <c r="J1" s="284"/>
      <c r="K1" s="284"/>
      <c r="L1" s="284"/>
      <c r="M1" s="284"/>
      <c r="O1" s="284"/>
      <c r="P1" s="284"/>
      <c r="Q1" s="284"/>
      <c r="R1" s="284"/>
      <c r="S1" s="284"/>
      <c r="U1" s="284"/>
      <c r="V1" s="284"/>
      <c r="W1" s="284"/>
      <c r="X1" s="284"/>
      <c r="Y1" s="284"/>
      <c r="AA1" s="284"/>
      <c r="AB1" s="284"/>
      <c r="AC1" s="284"/>
      <c r="AD1" s="284"/>
      <c r="AE1" s="284"/>
      <c r="AG1" s="284"/>
      <c r="AH1" s="284"/>
      <c r="AI1" s="284"/>
      <c r="AJ1" s="284"/>
      <c r="AK1" s="284"/>
      <c r="AM1" s="284"/>
      <c r="AN1" s="284"/>
      <c r="AO1" s="284"/>
      <c r="AP1" s="284"/>
      <c r="AQ1" s="284"/>
      <c r="AS1" s="284"/>
      <c r="AT1" s="284"/>
      <c r="AU1" s="284"/>
      <c r="AV1" s="284"/>
      <c r="AW1" s="284"/>
      <c r="AY1" s="284"/>
      <c r="AZ1" s="284"/>
      <c r="BA1" s="284"/>
      <c r="BB1" s="284"/>
      <c r="BC1" s="284"/>
      <c r="BE1" s="284"/>
      <c r="BF1" s="284"/>
      <c r="BG1" s="284"/>
      <c r="BH1" s="284"/>
      <c r="BI1" s="284"/>
      <c r="BK1" s="284"/>
      <c r="BL1" s="284"/>
      <c r="BM1" s="284"/>
      <c r="BN1" s="284"/>
      <c r="BO1" s="284"/>
      <c r="BQ1" s="284"/>
      <c r="BR1" s="284"/>
      <c r="BS1" s="284"/>
      <c r="BT1" s="284"/>
      <c r="BU1" s="284"/>
      <c r="BW1" s="285" t="s">
        <v>164</v>
      </c>
      <c r="BX1" s="285"/>
      <c r="BY1" s="285"/>
      <c r="BZ1" s="285"/>
      <c r="CA1" s="285"/>
      <c r="CC1" s="285"/>
      <c r="CD1" s="285"/>
      <c r="CE1" s="285"/>
      <c r="CF1" s="285"/>
      <c r="CG1" s="285"/>
      <c r="CI1" s="285"/>
      <c r="CJ1" s="285"/>
      <c r="CK1" s="285"/>
      <c r="CL1" s="285"/>
      <c r="CM1" s="285"/>
    </row>
    <row r="2" spans="1:221" x14ac:dyDescent="0.2">
      <c r="A2" s="1" t="s">
        <v>152</v>
      </c>
      <c r="C2" s="283">
        <v>2005</v>
      </c>
      <c r="D2" s="283"/>
      <c r="E2" s="283"/>
      <c r="F2" s="283"/>
      <c r="G2" s="283"/>
      <c r="I2" s="283">
        <v>2006</v>
      </c>
      <c r="J2" s="283"/>
      <c r="K2" s="283"/>
      <c r="L2" s="283"/>
      <c r="M2" s="283"/>
      <c r="O2" s="283">
        <v>2007</v>
      </c>
      <c r="P2" s="283"/>
      <c r="Q2" s="283"/>
      <c r="R2" s="283"/>
      <c r="S2" s="283"/>
      <c r="U2" s="283">
        <v>2008</v>
      </c>
      <c r="V2" s="283"/>
      <c r="W2" s="283"/>
      <c r="X2" s="283"/>
      <c r="Y2" s="283"/>
      <c r="AA2" s="283">
        <v>2009</v>
      </c>
      <c r="AB2" s="283"/>
      <c r="AC2" s="283"/>
      <c r="AD2" s="283"/>
      <c r="AE2" s="283"/>
      <c r="AG2" s="283">
        <v>2010</v>
      </c>
      <c r="AH2" s="283"/>
      <c r="AI2" s="283"/>
      <c r="AJ2" s="283"/>
      <c r="AK2" s="283"/>
      <c r="AM2" s="283">
        <v>2011</v>
      </c>
      <c r="AN2" s="283"/>
      <c r="AO2" s="283"/>
      <c r="AP2" s="283"/>
      <c r="AQ2" s="283"/>
      <c r="AS2" s="283">
        <v>2012</v>
      </c>
      <c r="AT2" s="283"/>
      <c r="AU2" s="283"/>
      <c r="AV2" s="283"/>
      <c r="AW2" s="283"/>
      <c r="AY2" s="283">
        <v>2013</v>
      </c>
      <c r="AZ2" s="283"/>
      <c r="BA2" s="283"/>
      <c r="BB2" s="283"/>
      <c r="BC2" s="283"/>
      <c r="BE2" s="283">
        <v>2014</v>
      </c>
      <c r="BF2" s="283"/>
      <c r="BG2" s="283"/>
      <c r="BH2" s="283"/>
      <c r="BI2" s="283"/>
      <c r="BK2" s="283">
        <v>2015</v>
      </c>
      <c r="BL2" s="283"/>
      <c r="BM2" s="283"/>
      <c r="BN2" s="283"/>
      <c r="BO2" s="283"/>
      <c r="BQ2" s="283">
        <v>2016</v>
      </c>
      <c r="BR2" s="283"/>
      <c r="BS2" s="283"/>
      <c r="BT2" s="283"/>
      <c r="BU2" s="283"/>
      <c r="BW2" s="283">
        <v>2017</v>
      </c>
      <c r="BX2" s="283"/>
      <c r="BY2" s="283"/>
      <c r="BZ2" s="283"/>
      <c r="CA2" s="283"/>
      <c r="CC2" s="283">
        <v>2018</v>
      </c>
      <c r="CD2" s="283"/>
      <c r="CE2" s="283"/>
      <c r="CF2" s="283"/>
      <c r="CG2" s="283"/>
      <c r="CI2" s="283">
        <v>2019</v>
      </c>
      <c r="CJ2" s="283"/>
      <c r="CK2" s="283"/>
      <c r="CL2" s="283"/>
      <c r="CM2" s="283"/>
    </row>
    <row r="3" spans="1:221" s="170" customFormat="1" x14ac:dyDescent="0.2">
      <c r="A3" s="169" t="s">
        <v>108</v>
      </c>
      <c r="B3" s="171"/>
      <c r="C3" s="171" t="s">
        <v>9</v>
      </c>
      <c r="D3" s="171" t="s">
        <v>10</v>
      </c>
      <c r="E3" s="171" t="s">
        <v>11</v>
      </c>
      <c r="F3" s="171" t="s">
        <v>12</v>
      </c>
      <c r="G3" s="171" t="s">
        <v>13</v>
      </c>
      <c r="I3" s="171" t="s">
        <v>9</v>
      </c>
      <c r="J3" s="171" t="s">
        <v>10</v>
      </c>
      <c r="K3" s="171" t="s">
        <v>11</v>
      </c>
      <c r="L3" s="171" t="s">
        <v>12</v>
      </c>
      <c r="M3" s="171" t="s">
        <v>13</v>
      </c>
      <c r="O3" s="171" t="s">
        <v>9</v>
      </c>
      <c r="P3" s="171" t="s">
        <v>10</v>
      </c>
      <c r="Q3" s="171" t="s">
        <v>11</v>
      </c>
      <c r="R3" s="171" t="s">
        <v>12</v>
      </c>
      <c r="S3" s="171" t="s">
        <v>13</v>
      </c>
      <c r="U3" s="171" t="s">
        <v>9</v>
      </c>
      <c r="V3" s="171" t="s">
        <v>10</v>
      </c>
      <c r="W3" s="171" t="s">
        <v>11</v>
      </c>
      <c r="X3" s="171" t="s">
        <v>12</v>
      </c>
      <c r="Y3" s="171" t="s">
        <v>13</v>
      </c>
      <c r="AA3" s="171" t="s">
        <v>9</v>
      </c>
      <c r="AB3" s="171" t="s">
        <v>10</v>
      </c>
      <c r="AC3" s="171" t="s">
        <v>11</v>
      </c>
      <c r="AD3" s="171" t="s">
        <v>12</v>
      </c>
      <c r="AE3" s="171" t="s">
        <v>13</v>
      </c>
      <c r="AG3" s="171" t="s">
        <v>9</v>
      </c>
      <c r="AH3" s="171" t="s">
        <v>10</v>
      </c>
      <c r="AI3" s="171" t="s">
        <v>11</v>
      </c>
      <c r="AJ3" s="171" t="s">
        <v>12</v>
      </c>
      <c r="AK3" s="171" t="s">
        <v>13</v>
      </c>
      <c r="AM3" s="171" t="s">
        <v>9</v>
      </c>
      <c r="AN3" s="171" t="s">
        <v>10</v>
      </c>
      <c r="AO3" s="171" t="s">
        <v>11</v>
      </c>
      <c r="AP3" s="171" t="s">
        <v>12</v>
      </c>
      <c r="AQ3" s="171" t="s">
        <v>13</v>
      </c>
      <c r="AS3" s="171" t="s">
        <v>9</v>
      </c>
      <c r="AT3" s="171" t="s">
        <v>10</v>
      </c>
      <c r="AU3" s="171" t="s">
        <v>11</v>
      </c>
      <c r="AV3" s="171" t="s">
        <v>12</v>
      </c>
      <c r="AW3" s="171" t="s">
        <v>13</v>
      </c>
      <c r="AY3" s="171" t="s">
        <v>9</v>
      </c>
      <c r="AZ3" s="171" t="s">
        <v>10</v>
      </c>
      <c r="BA3" s="171" t="s">
        <v>11</v>
      </c>
      <c r="BB3" s="171" t="s">
        <v>12</v>
      </c>
      <c r="BC3" s="171" t="s">
        <v>13</v>
      </c>
      <c r="BE3" s="171" t="s">
        <v>9</v>
      </c>
      <c r="BF3" s="171" t="s">
        <v>10</v>
      </c>
      <c r="BG3" s="171" t="s">
        <v>11</v>
      </c>
      <c r="BH3" s="171" t="s">
        <v>12</v>
      </c>
      <c r="BI3" s="171" t="s">
        <v>13</v>
      </c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27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28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31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51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81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48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84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75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51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82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83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135</v>
      </c>
      <c r="BR28" s="150" t="s">
        <v>135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135</v>
      </c>
      <c r="BX28" s="28">
        <f>+BX22/BX10</f>
        <v>6.25E-2</v>
      </c>
      <c r="BY28" s="150" t="s">
        <v>135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85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27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48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75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31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51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32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148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149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83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72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26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27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28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71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31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29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41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52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53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33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85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27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75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31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51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30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85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27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76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31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51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50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86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130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156</v>
      </c>
      <c r="AQ84" s="3"/>
      <c r="BW84" s="147" t="s">
        <v>154</v>
      </c>
      <c r="CC84" s="147"/>
      <c r="CI84" s="147"/>
    </row>
    <row r="85" spans="1:91" ht="11.1" customHeight="1" x14ac:dyDescent="0.2">
      <c r="A85" s="148" t="s">
        <v>157</v>
      </c>
      <c r="AQ85" s="3"/>
      <c r="BK85" s="7"/>
      <c r="BL85" s="10"/>
      <c r="BQ85" s="7"/>
      <c r="BR85" s="7"/>
      <c r="BW85" s="154" t="s">
        <v>155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284"/>
      <c r="D1" s="284"/>
      <c r="E1" s="284"/>
      <c r="F1" s="284"/>
      <c r="H1" s="284"/>
      <c r="I1" s="284"/>
      <c r="J1" s="284"/>
      <c r="K1" s="284"/>
      <c r="M1" s="284"/>
      <c r="N1" s="284"/>
      <c r="O1" s="284"/>
      <c r="P1" s="284"/>
      <c r="R1" s="284"/>
      <c r="S1" s="284"/>
      <c r="T1" s="284"/>
      <c r="U1" s="284"/>
      <c r="W1" s="284"/>
      <c r="X1" s="284"/>
      <c r="Y1" s="284"/>
      <c r="Z1" s="284"/>
      <c r="AB1" s="284"/>
      <c r="AC1" s="284"/>
      <c r="AD1" s="284"/>
      <c r="AE1" s="284"/>
      <c r="AG1" s="284"/>
      <c r="AH1" s="284"/>
      <c r="AI1" s="284"/>
      <c r="AJ1" s="284"/>
      <c r="AL1" s="284"/>
      <c r="AM1" s="284"/>
      <c r="AN1" s="284"/>
      <c r="AO1" s="284"/>
      <c r="AQ1" s="284"/>
      <c r="AR1" s="284"/>
      <c r="AS1" s="284"/>
      <c r="AT1" s="284"/>
      <c r="AV1" s="284"/>
      <c r="AW1" s="284"/>
      <c r="AX1" s="284"/>
      <c r="AY1" s="284"/>
      <c r="BA1" s="284"/>
      <c r="BB1" s="284"/>
      <c r="BC1" s="284"/>
      <c r="BD1" s="284"/>
      <c r="BF1" s="284"/>
      <c r="BG1" s="284"/>
      <c r="BH1" s="284"/>
      <c r="BI1" s="284"/>
      <c r="BK1" s="285" t="s">
        <v>165</v>
      </c>
      <c r="BL1" s="285"/>
      <c r="BM1" s="285"/>
      <c r="BN1" s="285"/>
      <c r="BP1" s="285"/>
      <c r="BQ1" s="285"/>
      <c r="BR1" s="285"/>
      <c r="BS1" s="285"/>
      <c r="BU1" s="285"/>
      <c r="BV1" s="285"/>
      <c r="BW1" s="285"/>
      <c r="BX1" s="285"/>
    </row>
    <row r="2" spans="1:76" x14ac:dyDescent="0.2">
      <c r="A2" s="1" t="s">
        <v>152</v>
      </c>
      <c r="C2" s="283">
        <v>2005</v>
      </c>
      <c r="D2" s="283"/>
      <c r="E2" s="283"/>
      <c r="F2" s="283"/>
      <c r="H2" s="283">
        <v>2006</v>
      </c>
      <c r="I2" s="283"/>
      <c r="J2" s="283"/>
      <c r="K2" s="283"/>
      <c r="M2" s="283">
        <v>2007</v>
      </c>
      <c r="N2" s="283"/>
      <c r="O2" s="283"/>
      <c r="P2" s="283"/>
      <c r="R2" s="283">
        <v>2008</v>
      </c>
      <c r="S2" s="283"/>
      <c r="T2" s="283"/>
      <c r="U2" s="283"/>
      <c r="W2" s="283">
        <v>2009</v>
      </c>
      <c r="X2" s="283"/>
      <c r="Y2" s="283"/>
      <c r="Z2" s="283"/>
      <c r="AB2" s="283">
        <v>2010</v>
      </c>
      <c r="AC2" s="283"/>
      <c r="AD2" s="283"/>
      <c r="AE2" s="283"/>
      <c r="AG2" s="283">
        <v>2011</v>
      </c>
      <c r="AH2" s="283"/>
      <c r="AI2" s="283"/>
      <c r="AJ2" s="283"/>
      <c r="AL2" s="283">
        <v>2012</v>
      </c>
      <c r="AM2" s="283"/>
      <c r="AN2" s="283"/>
      <c r="AO2" s="283"/>
      <c r="AQ2" s="283">
        <v>2013</v>
      </c>
      <c r="AR2" s="283"/>
      <c r="AS2" s="283"/>
      <c r="AT2" s="283"/>
      <c r="AV2" s="283">
        <v>2014</v>
      </c>
      <c r="AW2" s="283"/>
      <c r="AX2" s="283"/>
      <c r="AY2" s="283"/>
      <c r="BA2" s="283">
        <v>2015</v>
      </c>
      <c r="BB2" s="283"/>
      <c r="BC2" s="283"/>
      <c r="BD2" s="283"/>
      <c r="BF2" s="283">
        <v>2016</v>
      </c>
      <c r="BG2" s="283"/>
      <c r="BH2" s="283"/>
      <c r="BI2" s="283"/>
      <c r="BK2" s="283">
        <v>2017</v>
      </c>
      <c r="BL2" s="283"/>
      <c r="BM2" s="283"/>
      <c r="BN2" s="283"/>
      <c r="BP2" s="283">
        <v>2018</v>
      </c>
      <c r="BQ2" s="283"/>
      <c r="BR2" s="283"/>
      <c r="BS2" s="283"/>
      <c r="BU2" s="283">
        <v>2019</v>
      </c>
      <c r="BV2" s="283"/>
      <c r="BW2" s="283"/>
      <c r="BX2" s="283"/>
    </row>
    <row r="3" spans="1:76" s="170" customFormat="1" x14ac:dyDescent="0.2">
      <c r="A3" s="169" t="s">
        <v>109</v>
      </c>
      <c r="C3" s="172" t="s">
        <v>9</v>
      </c>
      <c r="D3" s="172" t="s">
        <v>10</v>
      </c>
      <c r="E3" s="172" t="s">
        <v>11</v>
      </c>
      <c r="F3" s="172" t="s">
        <v>12</v>
      </c>
      <c r="G3" s="172"/>
      <c r="H3" s="172" t="s">
        <v>9</v>
      </c>
      <c r="I3" s="172" t="s">
        <v>10</v>
      </c>
      <c r="J3" s="172" t="s">
        <v>11</v>
      </c>
      <c r="K3" s="172" t="s">
        <v>12</v>
      </c>
      <c r="L3" s="172"/>
      <c r="M3" s="172" t="s">
        <v>9</v>
      </c>
      <c r="N3" s="172" t="s">
        <v>10</v>
      </c>
      <c r="O3" s="172" t="s">
        <v>11</v>
      </c>
      <c r="P3" s="172" t="s">
        <v>12</v>
      </c>
      <c r="Q3" s="172"/>
      <c r="R3" s="172" t="s">
        <v>9</v>
      </c>
      <c r="S3" s="172" t="s">
        <v>10</v>
      </c>
      <c r="T3" s="172" t="s">
        <v>11</v>
      </c>
      <c r="U3" s="172" t="s">
        <v>12</v>
      </c>
      <c r="V3" s="172"/>
      <c r="W3" s="172" t="s">
        <v>9</v>
      </c>
      <c r="X3" s="172" t="s">
        <v>10</v>
      </c>
      <c r="Y3" s="172" t="s">
        <v>11</v>
      </c>
      <c r="Z3" s="172" t="s">
        <v>12</v>
      </c>
      <c r="AA3" s="172"/>
      <c r="AB3" s="172" t="s">
        <v>9</v>
      </c>
      <c r="AC3" s="172" t="s">
        <v>10</v>
      </c>
      <c r="AD3" s="172" t="s">
        <v>11</v>
      </c>
      <c r="AE3" s="172" t="s">
        <v>12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/>
      <c r="AL3" s="172" t="s">
        <v>9</v>
      </c>
      <c r="AM3" s="172" t="s">
        <v>10</v>
      </c>
      <c r="AN3" s="172" t="s">
        <v>11</v>
      </c>
      <c r="AO3" s="172" t="s">
        <v>12</v>
      </c>
      <c r="AP3" s="172"/>
      <c r="AQ3" s="172" t="s">
        <v>9</v>
      </c>
      <c r="AR3" s="172" t="s">
        <v>10</v>
      </c>
      <c r="AS3" s="172" t="s">
        <v>11</v>
      </c>
      <c r="AT3" s="172" t="s">
        <v>12</v>
      </c>
      <c r="AU3" s="172"/>
      <c r="AV3" s="172" t="s">
        <v>9</v>
      </c>
      <c r="AW3" s="172" t="s">
        <v>10</v>
      </c>
      <c r="AX3" s="172" t="s">
        <v>11</v>
      </c>
      <c r="AY3" s="172" t="s">
        <v>12</v>
      </c>
      <c r="AZ3" s="172"/>
      <c r="BA3" s="172" t="s">
        <v>9</v>
      </c>
      <c r="BB3" s="172" t="s">
        <v>10</v>
      </c>
      <c r="BC3" s="172" t="s">
        <v>11</v>
      </c>
      <c r="BD3" s="172" t="s">
        <v>12</v>
      </c>
      <c r="BE3" s="173"/>
      <c r="BF3" s="172" t="s">
        <v>9</v>
      </c>
      <c r="BG3" s="172" t="s">
        <v>10</v>
      </c>
      <c r="BH3" s="172" t="s">
        <v>11</v>
      </c>
      <c r="BI3" s="172" t="s">
        <v>12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P3" s="172" t="s">
        <v>9</v>
      </c>
      <c r="BQ3" s="172" t="s">
        <v>10</v>
      </c>
      <c r="BR3" s="172" t="s">
        <v>11</v>
      </c>
      <c r="BS3" s="172" t="s">
        <v>12</v>
      </c>
      <c r="BU3" s="172" t="s">
        <v>9</v>
      </c>
      <c r="BV3" s="172" t="s">
        <v>10</v>
      </c>
      <c r="BW3" s="172" t="s">
        <v>11</v>
      </c>
      <c r="BX3" s="172" t="s">
        <v>12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34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35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105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174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158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106</v>
      </c>
      <c r="C14" s="31">
        <f>-' Financial Highlights'!C31</f>
        <v>-45.2348993288591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-157.85234899328901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-361.34228187919501</v>
      </c>
      <c r="AN14" s="85">
        <f>(-' Financial Highlights'!AU31)</f>
        <v>-369.26174496644302</v>
      </c>
      <c r="AO14" s="84">
        <f>(-' Financial Highlights'!AV31)</f>
        <v>-256.24161073825502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110</v>
      </c>
      <c r="C15" s="123">
        <f>SUM(C11:C14)</f>
        <v>613.69127516778519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1072.3026845637578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246.72348993288557</v>
      </c>
      <c r="AN15" s="144">
        <f>SUM(AN11:AN14)</f>
        <v>277.29154362416097</v>
      </c>
      <c r="AO15" s="124">
        <f>SUM(AO11:AO14)</f>
        <v>396.70389261744975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36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73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97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37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98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89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74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38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39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74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40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99</v>
      </c>
      <c r="C32" s="32">
        <f>C15/C28</f>
        <v>8.6590909090909065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10.51138815789473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1.7259061032863827</v>
      </c>
      <c r="AN32" s="33">
        <f>AN15/AN28</f>
        <v>2.0658219999999994</v>
      </c>
      <c r="AO32" s="71">
        <f>AO15/AO28</f>
        <v>2.8445081809432153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100</v>
      </c>
      <c r="C33" s="32">
        <f>C15/C26</f>
        <v>7.8556701030927805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10.334611901681754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1.7340471698113185</v>
      </c>
      <c r="AN33" s="33">
        <f>AN15/AN26</f>
        <v>2.0678898898898894</v>
      </c>
      <c r="AO33" s="71">
        <f>AO15/AO26</f>
        <v>2.8693631067961167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47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-2.5276995305164345</v>
      </c>
      <c r="AN36" s="168">
        <f>AN14/AN24</f>
        <v>-2.7510000000000008</v>
      </c>
      <c r="AO36" s="167">
        <f>AO14/AO24</f>
        <v>-1.8373435996150143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168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169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2017-2021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2017-2021'!Print_Area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Bjergegaard, Pia Hartwig</cp:lastModifiedBy>
  <cp:lastPrinted>2019-05-14T13:27:52Z</cp:lastPrinted>
  <dcterms:created xsi:type="dcterms:W3CDTF">2003-02-28T10:07:39Z</dcterms:created>
  <dcterms:modified xsi:type="dcterms:W3CDTF">2022-03-08T10:45:24Z</dcterms:modified>
</cp:coreProperties>
</file>